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åkon\Desktop\NHF\2026\resultater\"/>
    </mc:Choice>
  </mc:AlternateContent>
  <xr:revisionPtr revIDLastSave="0" documentId="8_{81F646DC-AD5A-4139-9885-07F490E3103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Dag 1" sheetId="1" r:id="rId1"/>
    <sheet name="Dag 2" sheetId="2" r:id="rId2"/>
    <sheet name="Dag 3" sheetId="3" r:id="rId3"/>
    <sheet name="Sammenlag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4" l="1"/>
  <c r="B85" i="4"/>
  <c r="A85" i="4"/>
  <c r="C84" i="4"/>
  <c r="B84" i="4"/>
  <c r="A84" i="4"/>
  <c r="C83" i="4"/>
  <c r="B83" i="4"/>
  <c r="A83" i="4"/>
  <c r="C82" i="4"/>
  <c r="B82" i="4"/>
  <c r="A82" i="4"/>
  <c r="C81" i="4"/>
  <c r="B81" i="4"/>
  <c r="A81" i="4"/>
  <c r="C80" i="4"/>
  <c r="B80" i="4"/>
  <c r="A80" i="4"/>
  <c r="C79" i="4"/>
  <c r="B79" i="4"/>
  <c r="A79" i="4"/>
  <c r="C78" i="4"/>
  <c r="B78" i="4"/>
  <c r="A78" i="4"/>
  <c r="C77" i="4"/>
  <c r="B77" i="4"/>
  <c r="A77" i="4"/>
  <c r="C76" i="4"/>
  <c r="B76" i="4"/>
  <c r="A76" i="4"/>
  <c r="C75" i="4"/>
  <c r="B75" i="4"/>
  <c r="A75" i="4"/>
  <c r="C74" i="4"/>
  <c r="B74" i="4"/>
  <c r="A74" i="4"/>
  <c r="C73" i="4"/>
  <c r="B73" i="4"/>
  <c r="A73" i="4"/>
  <c r="F69" i="4"/>
  <c r="E69" i="4"/>
  <c r="D69" i="4"/>
  <c r="C69" i="4"/>
  <c r="B69" i="4"/>
  <c r="A69" i="4"/>
  <c r="F68" i="4"/>
  <c r="E68" i="4"/>
  <c r="D68" i="4"/>
  <c r="C68" i="4"/>
  <c r="B68" i="4"/>
  <c r="A68" i="4"/>
  <c r="F67" i="4"/>
  <c r="E67" i="4"/>
  <c r="D67" i="4"/>
  <c r="C67" i="4"/>
  <c r="B67" i="4"/>
  <c r="A67" i="4"/>
  <c r="F66" i="4"/>
  <c r="E66" i="4"/>
  <c r="D66" i="4"/>
  <c r="C66" i="4"/>
  <c r="B66" i="4"/>
  <c r="A66" i="4"/>
  <c r="F65" i="4"/>
  <c r="E65" i="4"/>
  <c r="D65" i="4"/>
  <c r="C65" i="4"/>
  <c r="B65" i="4"/>
  <c r="A65" i="4"/>
  <c r="F64" i="4"/>
  <c r="E64" i="4"/>
  <c r="D64" i="4"/>
  <c r="C64" i="4"/>
  <c r="B64" i="4"/>
  <c r="A64" i="4"/>
  <c r="F63" i="4"/>
  <c r="E63" i="4"/>
  <c r="D63" i="4"/>
  <c r="C63" i="4"/>
  <c r="B63" i="4"/>
  <c r="A63" i="4"/>
  <c r="F62" i="4"/>
  <c r="E62" i="4"/>
  <c r="D62" i="4"/>
  <c r="C62" i="4"/>
  <c r="B62" i="4"/>
  <c r="A62" i="4"/>
  <c r="F61" i="4"/>
  <c r="E61" i="4"/>
  <c r="D61" i="4"/>
  <c r="C61" i="4"/>
  <c r="B61" i="4"/>
  <c r="A61" i="4"/>
  <c r="F60" i="4"/>
  <c r="E60" i="4"/>
  <c r="D60" i="4"/>
  <c r="C60" i="4"/>
  <c r="B60" i="4"/>
  <c r="A60" i="4"/>
  <c r="F59" i="4"/>
  <c r="E59" i="4"/>
  <c r="D59" i="4"/>
  <c r="C59" i="4"/>
  <c r="B59" i="4"/>
  <c r="A59" i="4"/>
  <c r="F58" i="4"/>
  <c r="E58" i="4"/>
  <c r="D58" i="4"/>
  <c r="C58" i="4"/>
  <c r="B58" i="4"/>
  <c r="A58" i="4"/>
  <c r="F57" i="4"/>
  <c r="E57" i="4"/>
  <c r="D57" i="4"/>
  <c r="C57" i="4"/>
  <c r="B57" i="4"/>
  <c r="A57" i="4"/>
  <c r="F53" i="4"/>
  <c r="E53" i="4"/>
  <c r="D53" i="4"/>
  <c r="C53" i="4"/>
  <c r="B53" i="4"/>
  <c r="A53" i="4"/>
  <c r="F52" i="4"/>
  <c r="E52" i="4"/>
  <c r="D52" i="4"/>
  <c r="C52" i="4"/>
  <c r="B52" i="4"/>
  <c r="A52" i="4"/>
  <c r="F51" i="4"/>
  <c r="E51" i="4"/>
  <c r="D51" i="4"/>
  <c r="C51" i="4"/>
  <c r="B51" i="4"/>
  <c r="A51" i="4"/>
  <c r="F50" i="4"/>
  <c r="E50" i="4"/>
  <c r="D50" i="4"/>
  <c r="C50" i="4"/>
  <c r="B50" i="4"/>
  <c r="A50" i="4"/>
  <c r="F46" i="4"/>
  <c r="E46" i="4"/>
  <c r="D46" i="4"/>
  <c r="C46" i="4"/>
  <c r="B46" i="4"/>
  <c r="A46" i="4"/>
  <c r="F45" i="4"/>
  <c r="E45" i="4"/>
  <c r="D45" i="4"/>
  <c r="C45" i="4"/>
  <c r="B45" i="4"/>
  <c r="A45" i="4"/>
  <c r="F44" i="4"/>
  <c r="E44" i="4"/>
  <c r="D44" i="4"/>
  <c r="C44" i="4"/>
  <c r="B44" i="4"/>
  <c r="A44" i="4"/>
  <c r="F43" i="4"/>
  <c r="E43" i="4"/>
  <c r="D43" i="4"/>
  <c r="C43" i="4"/>
  <c r="B43" i="4"/>
  <c r="A43" i="4"/>
  <c r="F42" i="4"/>
  <c r="E42" i="4"/>
  <c r="D42" i="4"/>
  <c r="C42" i="4"/>
  <c r="B42" i="4"/>
  <c r="A42" i="4"/>
  <c r="F37" i="4"/>
  <c r="E37" i="4"/>
  <c r="D37" i="4"/>
  <c r="C37" i="4"/>
  <c r="B37" i="4"/>
  <c r="A37" i="4"/>
  <c r="F36" i="4"/>
  <c r="E36" i="4"/>
  <c r="D36" i="4"/>
  <c r="C36" i="4"/>
  <c r="B36" i="4"/>
  <c r="A36" i="4"/>
  <c r="F35" i="4"/>
  <c r="E35" i="4"/>
  <c r="D35" i="4"/>
  <c r="C35" i="4"/>
  <c r="B35" i="4"/>
  <c r="A35" i="4"/>
  <c r="F34" i="4"/>
  <c r="E34" i="4"/>
  <c r="D34" i="4"/>
  <c r="C34" i="4"/>
  <c r="B34" i="4"/>
  <c r="A34" i="4"/>
  <c r="F33" i="4"/>
  <c r="E33" i="4"/>
  <c r="D33" i="4"/>
  <c r="C33" i="4"/>
  <c r="B33" i="4"/>
  <c r="A33" i="4"/>
  <c r="F32" i="4"/>
  <c r="E32" i="4"/>
  <c r="D32" i="4"/>
  <c r="C32" i="4"/>
  <c r="B32" i="4"/>
  <c r="A32" i="4"/>
  <c r="F31" i="4"/>
  <c r="E31" i="4"/>
  <c r="D31" i="4"/>
  <c r="C31" i="4"/>
  <c r="B31" i="4"/>
  <c r="A31" i="4"/>
  <c r="F30" i="4"/>
  <c r="E30" i="4"/>
  <c r="D30" i="4"/>
  <c r="C30" i="4"/>
  <c r="B30" i="4"/>
  <c r="A30" i="4"/>
  <c r="F29" i="4"/>
  <c r="E29" i="4"/>
  <c r="D29" i="4"/>
  <c r="C29" i="4"/>
  <c r="B29" i="4"/>
  <c r="A29" i="4"/>
  <c r="F28" i="4"/>
  <c r="E28" i="4"/>
  <c r="D28" i="4"/>
  <c r="C28" i="4"/>
  <c r="B28" i="4"/>
  <c r="A28" i="4"/>
  <c r="F27" i="4"/>
  <c r="E27" i="4"/>
  <c r="D27" i="4"/>
  <c r="C27" i="4"/>
  <c r="B27" i="4"/>
  <c r="A27" i="4"/>
  <c r="F26" i="4"/>
  <c r="E26" i="4"/>
  <c r="D26" i="4"/>
  <c r="C26" i="4"/>
  <c r="B26" i="4"/>
  <c r="A26" i="4"/>
  <c r="F25" i="4"/>
  <c r="E25" i="4"/>
  <c r="D25" i="4"/>
  <c r="C25" i="4"/>
  <c r="B25" i="4"/>
  <c r="A25" i="4"/>
  <c r="F24" i="4"/>
  <c r="E24" i="4"/>
  <c r="D24" i="4"/>
  <c r="C24" i="4"/>
  <c r="B24" i="4"/>
  <c r="A24" i="4"/>
  <c r="F23" i="4"/>
  <c r="E23" i="4"/>
  <c r="D23" i="4"/>
  <c r="C23" i="4"/>
  <c r="B23" i="4"/>
  <c r="A23" i="4"/>
  <c r="F22" i="4"/>
  <c r="E22" i="4"/>
  <c r="D22" i="4"/>
  <c r="C22" i="4"/>
  <c r="B22" i="4"/>
  <c r="A22" i="4"/>
  <c r="F21" i="4"/>
  <c r="E21" i="4"/>
  <c r="D21" i="4"/>
  <c r="C21" i="4"/>
  <c r="B21" i="4"/>
  <c r="A21" i="4"/>
  <c r="F20" i="4"/>
  <c r="E20" i="4"/>
  <c r="D20" i="4"/>
  <c r="C20" i="4"/>
  <c r="B20" i="4"/>
  <c r="A20" i="4"/>
  <c r="F19" i="4"/>
  <c r="E19" i="4"/>
  <c r="D19" i="4"/>
  <c r="C19" i="4"/>
  <c r="B19" i="4"/>
  <c r="A19" i="4"/>
  <c r="F18" i="4"/>
  <c r="E18" i="4"/>
  <c r="D18" i="4"/>
  <c r="C18" i="4"/>
  <c r="B18" i="4"/>
  <c r="A18" i="4"/>
  <c r="F17" i="4"/>
  <c r="E17" i="4"/>
  <c r="D17" i="4"/>
  <c r="C17" i="4"/>
  <c r="B17" i="4"/>
  <c r="A17" i="4"/>
  <c r="F16" i="4"/>
  <c r="E16" i="4"/>
  <c r="D16" i="4"/>
  <c r="C16" i="4"/>
  <c r="B16" i="4"/>
  <c r="A16" i="4"/>
  <c r="F15" i="4"/>
  <c r="E15" i="4"/>
  <c r="D15" i="4"/>
  <c r="C15" i="4"/>
  <c r="B15" i="4"/>
  <c r="A15" i="4"/>
  <c r="F14" i="4"/>
  <c r="E14" i="4"/>
  <c r="D14" i="4"/>
  <c r="C14" i="4"/>
  <c r="B14" i="4"/>
  <c r="A14" i="4"/>
  <c r="F13" i="4"/>
  <c r="E13" i="4"/>
  <c r="D13" i="4"/>
  <c r="C13" i="4"/>
  <c r="B13" i="4"/>
  <c r="A13" i="4"/>
  <c r="F12" i="4"/>
  <c r="E12" i="4"/>
  <c r="D12" i="4"/>
  <c r="C12" i="4"/>
  <c r="B12" i="4"/>
  <c r="A12" i="4"/>
  <c r="F11" i="4"/>
  <c r="E11" i="4"/>
  <c r="D11" i="4"/>
  <c r="C11" i="4"/>
  <c r="B11" i="4"/>
  <c r="A11" i="4"/>
  <c r="F10" i="4"/>
  <c r="E10" i="4"/>
  <c r="D10" i="4"/>
  <c r="C10" i="4"/>
  <c r="B10" i="4"/>
  <c r="A10" i="4"/>
  <c r="F9" i="4"/>
  <c r="E9" i="4"/>
  <c r="D9" i="4"/>
  <c r="C9" i="4"/>
  <c r="B9" i="4"/>
  <c r="A9" i="4"/>
  <c r="F8" i="4"/>
  <c r="E8" i="4"/>
  <c r="D8" i="4"/>
  <c r="C8" i="4"/>
  <c r="B8" i="4"/>
  <c r="A8" i="4"/>
  <c r="F7" i="4"/>
  <c r="E7" i="4"/>
  <c r="D7" i="4"/>
  <c r="C7" i="4"/>
  <c r="B7" i="4"/>
  <c r="A7" i="4"/>
  <c r="F6" i="4"/>
  <c r="E6" i="4"/>
  <c r="D6" i="4"/>
  <c r="C6" i="4"/>
  <c r="B6" i="4"/>
  <c r="A6" i="4"/>
  <c r="G137" i="3"/>
  <c r="G132" i="3"/>
  <c r="G127" i="3"/>
  <c r="G122" i="3"/>
  <c r="G117" i="3"/>
  <c r="G112" i="3"/>
  <c r="G107" i="3"/>
  <c r="G102" i="3"/>
  <c r="G97" i="3"/>
  <c r="G92" i="3"/>
  <c r="G87" i="3"/>
  <c r="G82" i="3"/>
  <c r="G77" i="3"/>
  <c r="G137" i="2"/>
  <c r="G132" i="2"/>
  <c r="G127" i="2"/>
  <c r="G122" i="2"/>
  <c r="G117" i="2"/>
  <c r="G112" i="2"/>
  <c r="G107" i="2"/>
  <c r="G102" i="2"/>
  <c r="G97" i="2"/>
  <c r="G92" i="2"/>
  <c r="G87" i="2"/>
  <c r="G82" i="2"/>
  <c r="G77" i="2"/>
  <c r="G137" i="1"/>
  <c r="G132" i="1"/>
  <c r="G127" i="1"/>
  <c r="G122" i="1"/>
  <c r="G117" i="1"/>
  <c r="G112" i="1"/>
  <c r="G107" i="1"/>
  <c r="G102" i="1"/>
  <c r="G97" i="1"/>
  <c r="G92" i="1"/>
  <c r="G87" i="1"/>
  <c r="G82" i="1"/>
  <c r="G77" i="1"/>
</calcChain>
</file>

<file path=xl/sharedStrings.xml><?xml version="1.0" encoding="utf-8"?>
<sst xmlns="http://schemas.openxmlformats.org/spreadsheetml/2006/main" count="1455" uniqueCount="175">
  <si>
    <t>Festvalens Navn</t>
  </si>
  <si>
    <t xml:space="preserve">Mausundfestivalen </t>
  </si>
  <si>
    <t>Herrer</t>
  </si>
  <si>
    <t>Medlems nummer NHF</t>
  </si>
  <si>
    <t>Plassering</t>
  </si>
  <si>
    <t>Fornavn</t>
  </si>
  <si>
    <t>Etternavn</t>
  </si>
  <si>
    <t>Lag</t>
  </si>
  <si>
    <t>Poeng/Vekt</t>
  </si>
  <si>
    <t>Dato</t>
  </si>
  <si>
    <t>Klubb</t>
  </si>
  <si>
    <t>Knut Arne</t>
  </si>
  <si>
    <t>Røyne</t>
  </si>
  <si>
    <t>Thomas</t>
  </si>
  <si>
    <t>Helge</t>
  </si>
  <si>
    <t>Melhus</t>
  </si>
  <si>
    <t>Skarstein</t>
  </si>
  <si>
    <t>Trondheim 1</t>
  </si>
  <si>
    <t>Nordvegen</t>
  </si>
  <si>
    <t>Nord Jæren</t>
  </si>
  <si>
    <t>Nord Jæren 1</t>
  </si>
  <si>
    <t>Mix 1</t>
  </si>
  <si>
    <t>Geir</t>
  </si>
  <si>
    <t>Aronsen</t>
  </si>
  <si>
    <t>Botne</t>
  </si>
  <si>
    <t>Johannessen</t>
  </si>
  <si>
    <t>Bergen</t>
  </si>
  <si>
    <t>Botne 1</t>
  </si>
  <si>
    <t>Bergen 1</t>
  </si>
  <si>
    <t>Benjamin</t>
  </si>
  <si>
    <t>Rønvåg</t>
  </si>
  <si>
    <t>Tor Arne</t>
  </si>
  <si>
    <t>Torungen</t>
  </si>
  <si>
    <t>Rygg</t>
  </si>
  <si>
    <t>Torungen 2</t>
  </si>
  <si>
    <t>Oslo</t>
  </si>
  <si>
    <t>Oslo 1</t>
  </si>
  <si>
    <t>Kjell Garmann</t>
  </si>
  <si>
    <t>Skjæveland</t>
  </si>
  <si>
    <t>Mix 2</t>
  </si>
  <si>
    <t>Sebastian Holter</t>
  </si>
  <si>
    <t>Nilsen</t>
  </si>
  <si>
    <t>Torungen 3</t>
  </si>
  <si>
    <t>Richard</t>
  </si>
  <si>
    <t>Sjursen</t>
  </si>
  <si>
    <t>Oslo 2</t>
  </si>
  <si>
    <t>Lars Erik</t>
  </si>
  <si>
    <t>Berg</t>
  </si>
  <si>
    <t>Jonas</t>
  </si>
  <si>
    <t>Sætran</t>
  </si>
  <si>
    <t>Wasiq</t>
  </si>
  <si>
    <t>Butt</t>
  </si>
  <si>
    <t>Roy Egil</t>
  </si>
  <si>
    <t>Tenold</t>
  </si>
  <si>
    <t>Karl</t>
  </si>
  <si>
    <t>Jan Tore</t>
  </si>
  <si>
    <t>Olsen</t>
  </si>
  <si>
    <t>Torungen 1</t>
  </si>
  <si>
    <t>Bjørn</t>
  </si>
  <si>
    <t>Stein</t>
  </si>
  <si>
    <t>Rune</t>
  </si>
  <si>
    <t>Skåland</t>
  </si>
  <si>
    <t>Stig</t>
  </si>
  <si>
    <t>Hetland</t>
  </si>
  <si>
    <t>Idar</t>
  </si>
  <si>
    <t>Westergaard</t>
  </si>
  <si>
    <t>Trondheim</t>
  </si>
  <si>
    <t>Damer</t>
  </si>
  <si>
    <t>Robin</t>
  </si>
  <si>
    <t>Sortland</t>
  </si>
  <si>
    <t>Kjetil</t>
  </si>
  <si>
    <t>Langvatn</t>
  </si>
  <si>
    <t>Herman Z</t>
  </si>
  <si>
    <t>Krokstadholm</t>
  </si>
  <si>
    <t>Junior</t>
  </si>
  <si>
    <t>Aslak</t>
  </si>
  <si>
    <t>Moland</t>
  </si>
  <si>
    <t>Jan Ivar</t>
  </si>
  <si>
    <t>Lundberg</t>
  </si>
  <si>
    <t>Anders</t>
  </si>
  <si>
    <t>Dag Rune</t>
  </si>
  <si>
    <t>Lindland</t>
  </si>
  <si>
    <t>Kvittem</t>
  </si>
  <si>
    <t>Trondheim 3</t>
  </si>
  <si>
    <t>Senior</t>
  </si>
  <si>
    <t>Trym Olaf</t>
  </si>
  <si>
    <t>John Eilif</t>
  </si>
  <si>
    <t>Johansen</t>
  </si>
  <si>
    <t>Harstad</t>
  </si>
  <si>
    <t>Joaquim A.</t>
  </si>
  <si>
    <t>Barros</t>
  </si>
  <si>
    <t>Bastian N.</t>
  </si>
  <si>
    <t>Torgersen</t>
  </si>
  <si>
    <t>Lag - 4 personer</t>
  </si>
  <si>
    <t>Lag - 2 personer</t>
  </si>
  <si>
    <t>Plass</t>
  </si>
  <si>
    <t>Deltaker 1</t>
  </si>
  <si>
    <t>Deltaker 2</t>
  </si>
  <si>
    <t>Sammenlagt</t>
  </si>
  <si>
    <t>Torunn Handeland</t>
  </si>
  <si>
    <t>Tor Arne Rygg</t>
  </si>
  <si>
    <t>Richard Sjursen</t>
  </si>
  <si>
    <t>Geir Johannessen</t>
  </si>
  <si>
    <t>Thomas Skarstein</t>
  </si>
  <si>
    <t>Øyvind Braa</t>
  </si>
  <si>
    <t>Ingrid Lunden</t>
  </si>
  <si>
    <t>Karl Nilsen</t>
  </si>
  <si>
    <t>Jonas Sætran</t>
  </si>
  <si>
    <t>Bjørn Stein</t>
  </si>
  <si>
    <t>Joakim</t>
  </si>
  <si>
    <t>Rune Skåland</t>
  </si>
  <si>
    <t>Sævik</t>
  </si>
  <si>
    <t>Marlene A. Fossheim</t>
  </si>
  <si>
    <t>Runolf Lunden</t>
  </si>
  <si>
    <t>Robin Sortland</t>
  </si>
  <si>
    <t>Knut Arne Røyne</t>
  </si>
  <si>
    <t>Jan Tore Olsen</t>
  </si>
  <si>
    <t>Kjetil Langvatn</t>
  </si>
  <si>
    <t>Benjamin Rønvåg</t>
  </si>
  <si>
    <t>Anne-Grete Sætherø</t>
  </si>
  <si>
    <t>Emrik Nordberg Johansen</t>
  </si>
  <si>
    <t>Dag Rune Kvittem</t>
  </si>
  <si>
    <t>Sigurd Smolan</t>
  </si>
  <si>
    <t>Frode Lerstein</t>
  </si>
  <si>
    <t>Joaquim A. Barros</t>
  </si>
  <si>
    <t>Antonio Barros</t>
  </si>
  <si>
    <t>Torunn</t>
  </si>
  <si>
    <t>Handeland</t>
  </si>
  <si>
    <t>Ingrid</t>
  </si>
  <si>
    <t>Marlene A.</t>
  </si>
  <si>
    <t>Lunden</t>
  </si>
  <si>
    <t>Fossheim</t>
  </si>
  <si>
    <t>Åse Margaretha</t>
  </si>
  <si>
    <t>Nordhal</t>
  </si>
  <si>
    <t>Anne-Grete</t>
  </si>
  <si>
    <t>Sætherø</t>
  </si>
  <si>
    <t>Emma U.</t>
  </si>
  <si>
    <t>Emrik Nordberg</t>
  </si>
  <si>
    <t>Emma</t>
  </si>
  <si>
    <t>Antonio</t>
  </si>
  <si>
    <t>Øyvind</t>
  </si>
  <si>
    <t>Braa</t>
  </si>
  <si>
    <t>Trondheim 2</t>
  </si>
  <si>
    <t>Frode</t>
  </si>
  <si>
    <t>Andersen</t>
  </si>
  <si>
    <t>Lerstein</t>
  </si>
  <si>
    <t>Sørøya</t>
  </si>
  <si>
    <t>Håvard</t>
  </si>
  <si>
    <t>Runolf</t>
  </si>
  <si>
    <t>Strand</t>
  </si>
  <si>
    <t>Ingvar</t>
  </si>
  <si>
    <t>Tormod</t>
  </si>
  <si>
    <t>Aunvik</t>
  </si>
  <si>
    <t>Kjærvik</t>
  </si>
  <si>
    <t>Mix 3</t>
  </si>
  <si>
    <t>Sven</t>
  </si>
  <si>
    <t>Solbakken</t>
  </si>
  <si>
    <t>Johan</t>
  </si>
  <si>
    <t>Winge</t>
  </si>
  <si>
    <t>Gunder</t>
  </si>
  <si>
    <t>Salbu</t>
  </si>
  <si>
    <t>Ole Kristian</t>
  </si>
  <si>
    <t>Steine</t>
  </si>
  <si>
    <t>Sigurd</t>
  </si>
  <si>
    <t>Smolan</t>
  </si>
  <si>
    <t>Dag Normann</t>
  </si>
  <si>
    <t>Løvdal</t>
  </si>
  <si>
    <t>Nr.</t>
  </si>
  <si>
    <t>Vekt</t>
  </si>
  <si>
    <t>Totalt</t>
  </si>
  <si>
    <t>Største fisker</t>
  </si>
  <si>
    <t>Art</t>
  </si>
  <si>
    <t>Lange</t>
  </si>
  <si>
    <t>Kveite</t>
  </si>
  <si>
    <t>Breiflabb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</si>
</sst>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0"/>
    <numFmt numFmtId="166" formatCode="0.0"/>
  </numFmts>
  <fonts count="1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1"/>
      <name val="Calibri"/>
      <scheme val="minor"/>
    </font>
    <font>
      <sz val="22"/>
      <color theme="1"/>
      <name val="Arial"/>
    </font>
    <font>
      <b/>
      <sz val="11"/>
      <color rgb="FF000000"/>
      <name val="Calibri"/>
    </font>
    <font>
      <sz val="12"/>
      <color rgb="FF000000"/>
      <name val="Calibri"/>
    </font>
    <font>
      <b/>
      <sz val="12"/>
      <color theme="1"/>
      <name val="Arial"/>
    </font>
    <font>
      <sz val="12"/>
      <color theme="1"/>
      <name val="Arial Narrow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ptos Narrow"/>
    </font>
    <font>
      <sz val="10"/>
      <color theme="1"/>
      <name val="Arial Narrow"/>
    </font>
    <font>
      <sz val="11"/>
      <color theme="1"/>
      <name val="Arial"/>
    </font>
    <font>
      <b/>
      <sz val="11"/>
      <color theme="1"/>
      <name val="Aptos Narrow"/>
    </font>
    <font>
      <b/>
      <sz val="12"/>
      <color theme="1"/>
      <name val="Arial Narrow"/>
    </font>
    <font>
      <b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4" fillId="0" borderId="0" xfId="0" applyFont="1"/>
    <xf numFmtId="16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2" fontId="2" fillId="0" borderId="0" xfId="0" applyNumberFormat="1" applyFont="1"/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0" fontId="6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3" xfId="0" applyFont="1" applyBorder="1"/>
    <xf numFmtId="2" fontId="2" fillId="0" borderId="3" xfId="0" applyNumberFormat="1" applyFont="1" applyBorder="1"/>
    <xf numFmtId="0" fontId="7" fillId="0" borderId="0" xfId="0" applyFont="1"/>
    <xf numFmtId="2" fontId="4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0" xfId="0" applyFont="1" applyFill="1"/>
    <xf numFmtId="0" fontId="12" fillId="0" borderId="0" xfId="0" applyFont="1"/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3" xfId="0" applyFont="1" applyBorder="1"/>
    <xf numFmtId="0" fontId="12" fillId="0" borderId="3" xfId="0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165" fontId="13" fillId="2" borderId="0" xfId="0" applyNumberFormat="1" applyFont="1" applyFill="1" applyAlignment="1">
      <alignment vertical="center"/>
    </xf>
    <xf numFmtId="165" fontId="13" fillId="2" borderId="4" xfId="0" applyNumberFormat="1" applyFont="1" applyFill="1" applyBorder="1" applyAlignment="1">
      <alignment vertical="center"/>
    </xf>
    <xf numFmtId="165" fontId="13" fillId="2" borderId="5" xfId="0" applyNumberFormat="1" applyFont="1" applyFill="1" applyBorder="1" applyAlignment="1">
      <alignment vertical="center"/>
    </xf>
    <xf numFmtId="0" fontId="10" fillId="2" borderId="6" xfId="0" applyFont="1" applyFill="1" applyBorder="1" applyAlignment="1">
      <alignment horizontal="center"/>
    </xf>
    <xf numFmtId="0" fontId="13" fillId="2" borderId="0" xfId="0" applyFont="1" applyFill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2" fillId="0" borderId="0" xfId="0" applyNumberFormat="1" applyFont="1"/>
    <xf numFmtId="2" fontId="12" fillId="0" borderId="0" xfId="0" applyNumberFormat="1" applyFont="1" applyAlignment="1">
      <alignment horizontal="right"/>
    </xf>
    <xf numFmtId="0" fontId="14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2" fontId="15" fillId="0" borderId="3" xfId="0" applyNumberFormat="1" applyFont="1" applyBorder="1" applyAlignment="1">
      <alignment horizontal="right"/>
    </xf>
    <xf numFmtId="165" fontId="16" fillId="0" borderId="0" xfId="0" applyNumberFormat="1" applyFont="1" applyAlignment="1">
      <alignment vertical="center"/>
    </xf>
    <xf numFmtId="0" fontId="17" fillId="0" borderId="3" xfId="0" applyFont="1" applyBorder="1" applyAlignment="1">
      <alignment horizontal="right"/>
    </xf>
    <xf numFmtId="0" fontId="17" fillId="0" borderId="3" xfId="0" applyFont="1" applyBorder="1"/>
    <xf numFmtId="0" fontId="5" fillId="2" borderId="1" xfId="0" applyFont="1" applyFill="1" applyBorder="1"/>
    <xf numFmtId="0" fontId="10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4" fillId="0" borderId="3" xfId="0" applyFont="1" applyBorder="1"/>
    <xf numFmtId="166" fontId="12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1" fillId="0" borderId="3" xfId="0" applyFont="1" applyBorder="1"/>
    <xf numFmtId="166" fontId="12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66675</xdr:rowOff>
    </xdr:from>
    <xdr:ext cx="0" cy="333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0</xdr:row>
      <xdr:rowOff>76200</xdr:rowOff>
    </xdr:from>
    <xdr:ext cx="0" cy="3429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66675</xdr:rowOff>
    </xdr:from>
    <xdr:ext cx="0" cy="333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0</xdr:row>
      <xdr:rowOff>76200</xdr:rowOff>
    </xdr:from>
    <xdr:ext cx="0" cy="3429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66675</xdr:rowOff>
    </xdr:from>
    <xdr:ext cx="0" cy="333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0</xdr:row>
      <xdr:rowOff>76200</xdr:rowOff>
    </xdr:from>
    <xdr:ext cx="0" cy="3429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8"/>
  <sheetViews>
    <sheetView workbookViewId="0"/>
  </sheetViews>
  <sheetFormatPr baseColWidth="10" defaultColWidth="14.42578125" defaultRowHeight="15" customHeight="1" x14ac:dyDescent="0.25"/>
  <cols>
    <col min="1" max="1" width="21.28515625" customWidth="1"/>
    <col min="2" max="2" width="26" customWidth="1"/>
    <col min="3" max="3" width="23.28515625" customWidth="1"/>
    <col min="4" max="5" width="12.140625" customWidth="1"/>
    <col min="6" max="6" width="17.28515625" customWidth="1"/>
    <col min="7" max="7" width="11.7109375" customWidth="1"/>
    <col min="8" max="8" width="15.42578125" customWidth="1"/>
    <col min="9" max="9" width="9.140625" customWidth="1"/>
    <col min="10" max="24" width="10" customWidth="1"/>
  </cols>
  <sheetData>
    <row r="1" spans="1:24" ht="15.75" x14ac:dyDescent="0.25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24" x14ac:dyDescent="0.25">
      <c r="A2" s="1" t="s">
        <v>9</v>
      </c>
      <c r="B2" s="6">
        <v>46250</v>
      </c>
      <c r="C2" s="4"/>
      <c r="D2" s="4"/>
      <c r="E2" s="4"/>
      <c r="F2" s="4"/>
      <c r="G2" s="4"/>
      <c r="H2" s="4"/>
    </row>
    <row r="3" spans="1:24" x14ac:dyDescent="0.25">
      <c r="A3" s="1"/>
      <c r="B3" s="1"/>
      <c r="C3" s="4"/>
      <c r="D3" s="4"/>
      <c r="E3" s="4"/>
      <c r="F3" s="4"/>
      <c r="G3" s="4"/>
      <c r="H3" s="4"/>
    </row>
    <row r="4" spans="1:24" ht="27" customHeight="1" x14ac:dyDescent="0.35">
      <c r="A4" s="7"/>
      <c r="B4" s="8" t="s">
        <v>2</v>
      </c>
      <c r="C4" s="9"/>
      <c r="F4" s="11"/>
      <c r="G4" s="11"/>
      <c r="H4" s="4"/>
    </row>
    <row r="5" spans="1:24" x14ac:dyDescent="0.25">
      <c r="A5" s="13" t="s">
        <v>3</v>
      </c>
      <c r="B5" s="13" t="s">
        <v>4</v>
      </c>
      <c r="C5" s="14" t="s">
        <v>5</v>
      </c>
      <c r="D5" s="14" t="s">
        <v>6</v>
      </c>
      <c r="E5" s="14" t="s">
        <v>10</v>
      </c>
      <c r="F5" s="14" t="s">
        <v>7</v>
      </c>
      <c r="G5" s="14" t="s">
        <v>8</v>
      </c>
      <c r="I5" s="15"/>
      <c r="J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5.75" customHeight="1" x14ac:dyDescent="0.25">
      <c r="A6" s="17">
        <v>3512</v>
      </c>
      <c r="B6" s="17">
        <v>1</v>
      </c>
      <c r="C6" s="16" t="s">
        <v>14</v>
      </c>
      <c r="D6" s="16" t="s">
        <v>15</v>
      </c>
      <c r="E6" s="16" t="s">
        <v>18</v>
      </c>
      <c r="F6" s="16" t="s">
        <v>21</v>
      </c>
      <c r="G6" s="19">
        <v>105.64</v>
      </c>
    </row>
    <row r="7" spans="1:24" ht="15.75" customHeight="1" x14ac:dyDescent="0.25">
      <c r="A7" s="17">
        <v>1800</v>
      </c>
      <c r="B7" s="17">
        <v>2</v>
      </c>
      <c r="C7" s="16" t="s">
        <v>22</v>
      </c>
      <c r="D7" s="16" t="s">
        <v>25</v>
      </c>
      <c r="E7" s="16" t="s">
        <v>26</v>
      </c>
      <c r="F7" s="16" t="s">
        <v>28</v>
      </c>
      <c r="G7" s="19">
        <v>53.06</v>
      </c>
      <c r="I7" s="20"/>
      <c r="J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15.75" customHeight="1" x14ac:dyDescent="0.25">
      <c r="A8" s="17">
        <v>4337</v>
      </c>
      <c r="B8" s="17">
        <v>3</v>
      </c>
      <c r="C8" s="16" t="s">
        <v>31</v>
      </c>
      <c r="D8" s="16" t="s">
        <v>33</v>
      </c>
      <c r="E8" s="16" t="s">
        <v>35</v>
      </c>
      <c r="F8" s="16" t="s">
        <v>36</v>
      </c>
      <c r="G8" s="19">
        <v>51.5</v>
      </c>
      <c r="I8" s="20"/>
      <c r="J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5.75" customHeight="1" x14ac:dyDescent="0.25">
      <c r="A9" s="17">
        <v>5995</v>
      </c>
      <c r="B9" s="17">
        <v>4</v>
      </c>
      <c r="C9" s="16" t="s">
        <v>40</v>
      </c>
      <c r="D9" s="16" t="s">
        <v>41</v>
      </c>
      <c r="E9" s="16" t="s">
        <v>32</v>
      </c>
      <c r="F9" s="16" t="s">
        <v>42</v>
      </c>
      <c r="G9" s="19">
        <v>51</v>
      </c>
      <c r="I9" s="20"/>
      <c r="J9" s="20"/>
      <c r="P9" s="20"/>
      <c r="Q9" s="20"/>
      <c r="R9" s="20"/>
      <c r="S9" s="20"/>
      <c r="T9" s="20"/>
      <c r="U9" s="20"/>
      <c r="V9" s="20"/>
      <c r="W9" s="20"/>
      <c r="X9" s="20"/>
    </row>
    <row r="10" spans="1:24" ht="15.75" customHeight="1" x14ac:dyDescent="0.25">
      <c r="A10" s="17">
        <v>2001</v>
      </c>
      <c r="B10" s="17">
        <v>5</v>
      </c>
      <c r="C10" s="16" t="s">
        <v>46</v>
      </c>
      <c r="D10" s="16" t="s">
        <v>47</v>
      </c>
      <c r="E10" s="16" t="s">
        <v>24</v>
      </c>
      <c r="F10" s="16" t="s">
        <v>27</v>
      </c>
      <c r="G10" s="19">
        <v>50.1</v>
      </c>
      <c r="I10" s="20"/>
      <c r="J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ht="15.75" customHeight="1" x14ac:dyDescent="0.25">
      <c r="A11" s="17">
        <v>1771</v>
      </c>
      <c r="B11" s="17">
        <v>6</v>
      </c>
      <c r="C11" s="16" t="s">
        <v>50</v>
      </c>
      <c r="D11" s="16" t="s">
        <v>51</v>
      </c>
      <c r="E11" s="16" t="s">
        <v>26</v>
      </c>
      <c r="F11" s="16" t="s">
        <v>28</v>
      </c>
      <c r="G11" s="19">
        <v>49.9</v>
      </c>
      <c r="I11" s="20"/>
      <c r="J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.75" customHeight="1" x14ac:dyDescent="0.25">
      <c r="A12" s="17">
        <v>4316</v>
      </c>
      <c r="B12" s="17">
        <v>7</v>
      </c>
      <c r="C12" s="16" t="s">
        <v>54</v>
      </c>
      <c r="D12" s="16" t="s">
        <v>41</v>
      </c>
      <c r="E12" s="16" t="s">
        <v>35</v>
      </c>
      <c r="F12" s="16" t="s">
        <v>36</v>
      </c>
      <c r="G12" s="19">
        <v>41.76</v>
      </c>
      <c r="I12" s="20"/>
      <c r="J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15.75" customHeight="1" x14ac:dyDescent="0.25">
      <c r="A13" s="17">
        <v>4152</v>
      </c>
      <c r="B13" s="17">
        <v>8</v>
      </c>
      <c r="C13" s="16" t="s">
        <v>37</v>
      </c>
      <c r="D13" s="16" t="s">
        <v>38</v>
      </c>
      <c r="E13" s="16" t="s">
        <v>19</v>
      </c>
      <c r="F13" s="16" t="s">
        <v>39</v>
      </c>
      <c r="G13" s="19">
        <v>41.6</v>
      </c>
      <c r="I13" s="20"/>
      <c r="J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ht="15.75" customHeight="1" x14ac:dyDescent="0.25">
      <c r="A14" s="17">
        <v>5987</v>
      </c>
      <c r="B14" s="17">
        <v>9</v>
      </c>
      <c r="C14" s="16" t="s">
        <v>60</v>
      </c>
      <c r="D14" s="16" t="s">
        <v>61</v>
      </c>
      <c r="E14" s="16" t="s">
        <v>32</v>
      </c>
      <c r="F14" s="16" t="s">
        <v>34</v>
      </c>
      <c r="G14" s="19">
        <v>41.58</v>
      </c>
      <c r="I14" s="20"/>
      <c r="J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ht="15.75" customHeight="1" x14ac:dyDescent="0.25">
      <c r="A15" s="17">
        <v>4229</v>
      </c>
      <c r="B15" s="17">
        <v>10</v>
      </c>
      <c r="C15" s="16" t="s">
        <v>64</v>
      </c>
      <c r="D15" s="16" t="s">
        <v>65</v>
      </c>
      <c r="E15" s="16" t="s">
        <v>19</v>
      </c>
      <c r="F15" s="16" t="s">
        <v>39</v>
      </c>
      <c r="G15" s="19">
        <v>40.799999999999997</v>
      </c>
      <c r="I15" s="20"/>
      <c r="J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ht="15.75" customHeight="1" x14ac:dyDescent="0.25">
      <c r="A16" s="17">
        <v>4136</v>
      </c>
      <c r="B16" s="17">
        <v>11</v>
      </c>
      <c r="C16" s="16" t="s">
        <v>58</v>
      </c>
      <c r="D16" s="16" t="s">
        <v>59</v>
      </c>
      <c r="E16" s="16" t="s">
        <v>19</v>
      </c>
      <c r="F16" s="16" t="s">
        <v>20</v>
      </c>
      <c r="G16" s="19">
        <v>39.36</v>
      </c>
      <c r="I16" s="20"/>
      <c r="J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5.75" customHeight="1" x14ac:dyDescent="0.25">
      <c r="A17" s="17">
        <v>1772</v>
      </c>
      <c r="B17" s="17">
        <v>12</v>
      </c>
      <c r="C17" s="16" t="s">
        <v>68</v>
      </c>
      <c r="D17" s="16" t="s">
        <v>69</v>
      </c>
      <c r="E17" s="16" t="s">
        <v>26</v>
      </c>
      <c r="F17" s="16" t="s">
        <v>28</v>
      </c>
      <c r="G17" s="19">
        <v>37.1</v>
      </c>
      <c r="I17" s="20"/>
      <c r="J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5.75" customHeight="1" x14ac:dyDescent="0.25">
      <c r="A18" s="17">
        <v>4164</v>
      </c>
      <c r="B18" s="17">
        <v>13</v>
      </c>
      <c r="C18" s="16" t="s">
        <v>13</v>
      </c>
      <c r="D18" s="16" t="s">
        <v>16</v>
      </c>
      <c r="E18" s="16" t="s">
        <v>19</v>
      </c>
      <c r="F18" s="16" t="s">
        <v>20</v>
      </c>
      <c r="G18" s="19">
        <v>32.42</v>
      </c>
      <c r="I18" s="20"/>
      <c r="J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15.75" customHeight="1" x14ac:dyDescent="0.25">
      <c r="A19" s="17">
        <v>5981</v>
      </c>
      <c r="B19" s="17">
        <v>14</v>
      </c>
      <c r="C19" s="16" t="s">
        <v>72</v>
      </c>
      <c r="D19" s="16" t="s">
        <v>73</v>
      </c>
      <c r="E19" s="16" t="s">
        <v>32</v>
      </c>
      <c r="F19" s="16" t="s">
        <v>57</v>
      </c>
      <c r="G19" s="19">
        <v>32.24</v>
      </c>
      <c r="I19" s="20"/>
      <c r="J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.75" customHeight="1" x14ac:dyDescent="0.25">
      <c r="A20" s="17">
        <v>5969</v>
      </c>
      <c r="B20" s="17">
        <v>15</v>
      </c>
      <c r="C20" s="16" t="s">
        <v>48</v>
      </c>
      <c r="D20" s="16" t="s">
        <v>49</v>
      </c>
      <c r="E20" s="16" t="s">
        <v>32</v>
      </c>
      <c r="F20" s="16" t="s">
        <v>34</v>
      </c>
      <c r="G20" s="19">
        <v>30.62</v>
      </c>
      <c r="I20" s="20"/>
      <c r="J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.75" customHeight="1" x14ac:dyDescent="0.25">
      <c r="A21" s="17">
        <v>4341</v>
      </c>
      <c r="B21" s="17">
        <v>16</v>
      </c>
      <c r="C21" s="16" t="s">
        <v>43</v>
      </c>
      <c r="D21" s="16" t="s">
        <v>44</v>
      </c>
      <c r="E21" s="16" t="s">
        <v>35</v>
      </c>
      <c r="F21" s="16" t="s">
        <v>45</v>
      </c>
      <c r="G21" s="19">
        <v>30.28</v>
      </c>
      <c r="I21" s="20"/>
      <c r="J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.75" customHeight="1" x14ac:dyDescent="0.25">
      <c r="A22" s="17">
        <v>6407</v>
      </c>
      <c r="B22" s="17">
        <v>17</v>
      </c>
      <c r="C22" s="16" t="s">
        <v>80</v>
      </c>
      <c r="D22" s="16" t="s">
        <v>82</v>
      </c>
      <c r="E22" s="16" t="s">
        <v>66</v>
      </c>
      <c r="F22" s="16" t="s">
        <v>83</v>
      </c>
      <c r="G22" s="19">
        <v>28.64</v>
      </c>
      <c r="I22" s="20"/>
      <c r="J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.75" customHeight="1" x14ac:dyDescent="0.25">
      <c r="A23" s="17">
        <v>5986</v>
      </c>
      <c r="B23" s="17">
        <v>18</v>
      </c>
      <c r="C23" s="16" t="s">
        <v>85</v>
      </c>
      <c r="D23" s="16" t="s">
        <v>56</v>
      </c>
      <c r="E23" s="16" t="s">
        <v>32</v>
      </c>
      <c r="F23" s="16" t="s">
        <v>34</v>
      </c>
      <c r="G23" s="19">
        <v>28.16</v>
      </c>
      <c r="I23" s="20"/>
      <c r="J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.75" customHeight="1" x14ac:dyDescent="0.25">
      <c r="A24" s="17">
        <v>2843</v>
      </c>
      <c r="B24" s="17">
        <v>19</v>
      </c>
      <c r="C24" s="16" t="s">
        <v>86</v>
      </c>
      <c r="D24" s="16" t="s">
        <v>87</v>
      </c>
      <c r="E24" s="16" t="s">
        <v>88</v>
      </c>
      <c r="F24" s="16" t="s">
        <v>21</v>
      </c>
      <c r="G24" s="19">
        <v>28.02</v>
      </c>
      <c r="I24" s="20"/>
      <c r="J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 customHeight="1" x14ac:dyDescent="0.25">
      <c r="A25" s="17">
        <v>4425</v>
      </c>
      <c r="B25" s="17">
        <v>20</v>
      </c>
      <c r="C25" s="16" t="s">
        <v>89</v>
      </c>
      <c r="D25" s="16" t="s">
        <v>90</v>
      </c>
      <c r="E25" s="16" t="s">
        <v>35</v>
      </c>
      <c r="F25" s="16" t="s">
        <v>45</v>
      </c>
      <c r="G25" s="19">
        <v>26.32</v>
      </c>
      <c r="I25" s="20"/>
      <c r="J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.75" customHeight="1" x14ac:dyDescent="0.25">
      <c r="A26" s="17">
        <v>5978</v>
      </c>
      <c r="B26" s="17">
        <v>21</v>
      </c>
      <c r="C26" s="16" t="s">
        <v>29</v>
      </c>
      <c r="D26" s="16" t="s">
        <v>30</v>
      </c>
      <c r="E26" s="16" t="s">
        <v>32</v>
      </c>
      <c r="F26" s="16" t="s">
        <v>34</v>
      </c>
      <c r="G26" s="19">
        <v>25.44</v>
      </c>
      <c r="I26" s="20"/>
      <c r="J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.75" customHeight="1" x14ac:dyDescent="0.25">
      <c r="A27" s="17">
        <v>6413</v>
      </c>
      <c r="B27" s="17">
        <v>22</v>
      </c>
      <c r="C27" s="16" t="s">
        <v>70</v>
      </c>
      <c r="D27" s="16" t="s">
        <v>71</v>
      </c>
      <c r="E27" s="16" t="s">
        <v>66</v>
      </c>
      <c r="F27" s="16" t="s">
        <v>17</v>
      </c>
      <c r="G27" s="19">
        <v>21.88</v>
      </c>
      <c r="I27" s="20"/>
      <c r="J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 customHeight="1" x14ac:dyDescent="0.25">
      <c r="A28" s="17">
        <v>4118</v>
      </c>
      <c r="B28" s="17">
        <v>23</v>
      </c>
      <c r="C28" s="16" t="s">
        <v>62</v>
      </c>
      <c r="D28" s="16" t="s">
        <v>63</v>
      </c>
      <c r="E28" s="16" t="s">
        <v>19</v>
      </c>
      <c r="F28" s="16" t="s">
        <v>20</v>
      </c>
      <c r="G28" s="19">
        <v>20</v>
      </c>
      <c r="I28" s="20"/>
      <c r="J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.75" customHeight="1" x14ac:dyDescent="0.25">
      <c r="A29" s="17">
        <v>5990</v>
      </c>
      <c r="B29" s="17">
        <v>24</v>
      </c>
      <c r="C29" s="16" t="s">
        <v>79</v>
      </c>
      <c r="D29" s="16" t="s">
        <v>81</v>
      </c>
      <c r="E29" s="16" t="s">
        <v>32</v>
      </c>
      <c r="F29" s="16" t="s">
        <v>42</v>
      </c>
      <c r="G29" s="19">
        <v>18.82</v>
      </c>
      <c r="I29" s="20"/>
      <c r="J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.75" customHeight="1" x14ac:dyDescent="0.25">
      <c r="A30" s="17">
        <v>2000</v>
      </c>
      <c r="B30" s="17">
        <v>25</v>
      </c>
      <c r="C30" s="16" t="s">
        <v>22</v>
      </c>
      <c r="D30" s="16" t="s">
        <v>23</v>
      </c>
      <c r="E30" s="16" t="s">
        <v>24</v>
      </c>
      <c r="F30" s="16" t="s">
        <v>27</v>
      </c>
      <c r="G30" s="19">
        <v>18.739999999999998</v>
      </c>
      <c r="I30" s="20"/>
      <c r="J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.75" customHeight="1" x14ac:dyDescent="0.25">
      <c r="A31" s="17">
        <v>4319</v>
      </c>
      <c r="B31" s="17">
        <v>26</v>
      </c>
      <c r="C31" s="16" t="s">
        <v>91</v>
      </c>
      <c r="D31" s="16" t="s">
        <v>92</v>
      </c>
      <c r="E31" s="16" t="s">
        <v>35</v>
      </c>
      <c r="F31" s="16" t="s">
        <v>45</v>
      </c>
      <c r="G31" s="19">
        <v>18.399999999999999</v>
      </c>
      <c r="I31" s="20"/>
      <c r="J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.75" customHeight="1" x14ac:dyDescent="0.25">
      <c r="A32" s="17">
        <v>6324</v>
      </c>
      <c r="B32" s="17">
        <v>27</v>
      </c>
      <c r="C32" s="16" t="s">
        <v>11</v>
      </c>
      <c r="D32" s="16" t="s">
        <v>12</v>
      </c>
      <c r="E32" s="16" t="s">
        <v>66</v>
      </c>
      <c r="F32" s="16" t="s">
        <v>17</v>
      </c>
      <c r="G32" s="19">
        <v>12.9</v>
      </c>
      <c r="I32" s="20"/>
      <c r="J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5.75" customHeight="1" x14ac:dyDescent="0.25">
      <c r="A33" s="17">
        <v>5982</v>
      </c>
      <c r="B33" s="17">
        <v>28</v>
      </c>
      <c r="C33" s="16" t="s">
        <v>55</v>
      </c>
      <c r="D33" s="16" t="s">
        <v>56</v>
      </c>
      <c r="E33" s="16" t="s">
        <v>32</v>
      </c>
      <c r="F33" s="16" t="s">
        <v>57</v>
      </c>
      <c r="G33" s="19">
        <v>12.76</v>
      </c>
      <c r="I33" s="20"/>
      <c r="J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75" customHeight="1" x14ac:dyDescent="0.25">
      <c r="A34" s="17">
        <v>5946</v>
      </c>
      <c r="B34" s="17">
        <v>29</v>
      </c>
      <c r="C34" s="16" t="s">
        <v>75</v>
      </c>
      <c r="D34" s="16" t="s">
        <v>76</v>
      </c>
      <c r="E34" s="16" t="s">
        <v>32</v>
      </c>
      <c r="F34" s="16" t="s">
        <v>57</v>
      </c>
      <c r="G34" s="19">
        <v>4.26</v>
      </c>
      <c r="I34" s="20"/>
      <c r="J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.75" customHeight="1" x14ac:dyDescent="0.25">
      <c r="A35" s="17">
        <v>5992</v>
      </c>
      <c r="B35" s="17">
        <v>30</v>
      </c>
      <c r="C35" s="16" t="s">
        <v>77</v>
      </c>
      <c r="D35" s="16" t="s">
        <v>78</v>
      </c>
      <c r="E35" s="16" t="s">
        <v>32</v>
      </c>
      <c r="F35" s="16" t="s">
        <v>57</v>
      </c>
      <c r="G35" s="19">
        <v>2.1</v>
      </c>
      <c r="I35" s="20"/>
      <c r="J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5.75" customHeight="1" x14ac:dyDescent="0.25">
      <c r="A36" s="17">
        <v>6437</v>
      </c>
      <c r="B36" s="17">
        <v>31</v>
      </c>
      <c r="C36" s="16" t="s">
        <v>109</v>
      </c>
      <c r="D36" s="16" t="s">
        <v>111</v>
      </c>
      <c r="E36" s="16" t="s">
        <v>66</v>
      </c>
      <c r="F36" s="16" t="s">
        <v>83</v>
      </c>
      <c r="G36" s="19">
        <v>1.72</v>
      </c>
      <c r="I36" s="20"/>
      <c r="J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.75" customHeight="1" x14ac:dyDescent="0.25">
      <c r="A37" s="17">
        <v>1831</v>
      </c>
      <c r="B37" s="17">
        <v>32</v>
      </c>
      <c r="C37" s="16" t="s">
        <v>52</v>
      </c>
      <c r="D37" s="16" t="s">
        <v>53</v>
      </c>
      <c r="E37" s="16" t="s">
        <v>26</v>
      </c>
      <c r="F37" s="16" t="s">
        <v>28</v>
      </c>
      <c r="G37" s="19">
        <v>1.1200000000000001</v>
      </c>
      <c r="I37" s="20"/>
      <c r="J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5.75" customHeight="1" x14ac:dyDescent="0.25">
      <c r="A38" s="22"/>
      <c r="B38" s="23"/>
      <c r="C38" s="20"/>
      <c r="D38" s="24"/>
      <c r="E38" s="24"/>
      <c r="F38" s="24"/>
      <c r="G38" s="24"/>
      <c r="H38" s="25"/>
      <c r="I38" s="20"/>
      <c r="J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x14ac:dyDescent="0.25">
      <c r="A39" s="26"/>
      <c r="B39" s="27"/>
      <c r="D39" s="29"/>
      <c r="E39" s="28"/>
      <c r="F39" s="28"/>
      <c r="G39" s="28"/>
      <c r="H39" s="28"/>
    </row>
    <row r="40" spans="1:24" ht="27" customHeight="1" x14ac:dyDescent="0.35">
      <c r="A40" s="8" t="s">
        <v>67</v>
      </c>
      <c r="B40" s="7"/>
      <c r="H40" s="4"/>
    </row>
    <row r="41" spans="1:24" x14ac:dyDescent="0.25">
      <c r="A41" s="13" t="s">
        <v>3</v>
      </c>
      <c r="B41" s="13" t="s">
        <v>4</v>
      </c>
      <c r="C41" s="14" t="s">
        <v>5</v>
      </c>
      <c r="D41" s="14" t="s">
        <v>6</v>
      </c>
      <c r="E41" s="14" t="s">
        <v>10</v>
      </c>
      <c r="F41" s="14" t="s">
        <v>7</v>
      </c>
      <c r="G41" s="14" t="s">
        <v>8</v>
      </c>
      <c r="I41" s="15"/>
      <c r="J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15.75" customHeight="1" x14ac:dyDescent="0.25">
      <c r="A42" s="31">
        <v>4307</v>
      </c>
      <c r="B42" s="17">
        <v>1</v>
      </c>
      <c r="C42" s="33" t="s">
        <v>126</v>
      </c>
      <c r="D42" s="33" t="s">
        <v>127</v>
      </c>
      <c r="E42" s="33" t="s">
        <v>35</v>
      </c>
      <c r="F42" s="33" t="s">
        <v>36</v>
      </c>
      <c r="G42" s="35">
        <v>38.5</v>
      </c>
      <c r="H42" s="25"/>
    </row>
    <row r="43" spans="1:24" ht="15.75" customHeight="1" x14ac:dyDescent="0.25">
      <c r="A43" s="31">
        <v>6427</v>
      </c>
      <c r="B43" s="17">
        <v>2</v>
      </c>
      <c r="C43" s="33" t="s">
        <v>129</v>
      </c>
      <c r="D43" s="33" t="s">
        <v>131</v>
      </c>
      <c r="E43" s="33" t="s">
        <v>66</v>
      </c>
      <c r="F43" s="33" t="s">
        <v>83</v>
      </c>
      <c r="G43" s="35">
        <v>37.14</v>
      </c>
      <c r="H43" s="20"/>
      <c r="I43" s="20"/>
      <c r="J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5.75" customHeight="1" x14ac:dyDescent="0.25">
      <c r="A44" s="31">
        <v>6361</v>
      </c>
      <c r="B44" s="17">
        <v>3</v>
      </c>
      <c r="C44" s="33" t="s">
        <v>128</v>
      </c>
      <c r="D44" s="33" t="s">
        <v>130</v>
      </c>
      <c r="E44" s="33" t="s">
        <v>66</v>
      </c>
      <c r="F44" s="33" t="s">
        <v>17</v>
      </c>
      <c r="G44" s="35">
        <v>27.26</v>
      </c>
      <c r="H44" s="36"/>
      <c r="I44" s="20"/>
      <c r="J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4" ht="15.75" customHeight="1" x14ac:dyDescent="0.25">
      <c r="A45" s="31">
        <v>3502</v>
      </c>
      <c r="B45" s="17">
        <v>4</v>
      </c>
      <c r="C45" s="33" t="s">
        <v>134</v>
      </c>
      <c r="D45" s="33" t="s">
        <v>135</v>
      </c>
      <c r="E45" s="33" t="s">
        <v>18</v>
      </c>
      <c r="F45" s="33" t="s">
        <v>21</v>
      </c>
      <c r="G45" s="35">
        <v>24.12</v>
      </c>
      <c r="H45" s="37"/>
      <c r="I45" s="20"/>
      <c r="J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15.75" customHeight="1" x14ac:dyDescent="0.25">
      <c r="A46" s="31">
        <v>4318</v>
      </c>
      <c r="B46" s="17">
        <v>5</v>
      </c>
      <c r="C46" s="33" t="s">
        <v>132</v>
      </c>
      <c r="D46" s="33" t="s">
        <v>133</v>
      </c>
      <c r="E46" s="33" t="s">
        <v>35</v>
      </c>
      <c r="F46" s="33" t="s">
        <v>39</v>
      </c>
      <c r="G46" s="35">
        <v>11.42</v>
      </c>
      <c r="H46" s="38"/>
      <c r="I46" s="20"/>
      <c r="J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25">
      <c r="A47" s="22"/>
      <c r="B47" s="39"/>
      <c r="C47" s="20"/>
      <c r="D47" s="40"/>
      <c r="E47" s="40"/>
      <c r="F47" s="40"/>
      <c r="G47" s="40"/>
      <c r="H47" s="41"/>
      <c r="I47" s="20"/>
      <c r="J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27" customHeight="1" x14ac:dyDescent="0.35">
      <c r="A48" s="8" t="s">
        <v>74</v>
      </c>
      <c r="B48" s="7"/>
      <c r="H48" s="4"/>
    </row>
    <row r="49" spans="1:24" x14ac:dyDescent="0.25">
      <c r="A49" s="13" t="s">
        <v>3</v>
      </c>
      <c r="B49" s="13" t="s">
        <v>4</v>
      </c>
      <c r="C49" s="14" t="s">
        <v>5</v>
      </c>
      <c r="D49" s="14" t="s">
        <v>6</v>
      </c>
      <c r="E49" s="14" t="s">
        <v>10</v>
      </c>
      <c r="F49" s="14" t="s">
        <v>7</v>
      </c>
      <c r="G49" s="14" t="s">
        <v>8</v>
      </c>
      <c r="I49" s="15"/>
      <c r="J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ht="15.75" customHeight="1" x14ac:dyDescent="0.25">
      <c r="A50" s="16">
        <v>2011</v>
      </c>
      <c r="B50" s="17">
        <v>1</v>
      </c>
      <c r="C50" s="16" t="s">
        <v>136</v>
      </c>
      <c r="D50" s="16" t="s">
        <v>47</v>
      </c>
      <c r="E50" s="16" t="s">
        <v>24</v>
      </c>
      <c r="F50" s="16" t="s">
        <v>27</v>
      </c>
      <c r="G50" s="16">
        <v>59.52</v>
      </c>
      <c r="H50" s="42"/>
    </row>
    <row r="51" spans="1:24" ht="15.75" customHeight="1" x14ac:dyDescent="0.25">
      <c r="A51" s="16">
        <v>5939</v>
      </c>
      <c r="B51" s="17">
        <v>2</v>
      </c>
      <c r="C51" s="16" t="s">
        <v>137</v>
      </c>
      <c r="D51" s="16" t="s">
        <v>87</v>
      </c>
      <c r="E51" s="16" t="s">
        <v>32</v>
      </c>
      <c r="F51" s="16" t="s">
        <v>42</v>
      </c>
      <c r="G51" s="16">
        <v>39.68</v>
      </c>
      <c r="H51" s="42"/>
      <c r="I51" s="20"/>
      <c r="J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.75" customHeight="1" x14ac:dyDescent="0.25">
      <c r="A52" s="16">
        <v>4311</v>
      </c>
      <c r="B52" s="17">
        <v>3</v>
      </c>
      <c r="C52" s="16" t="s">
        <v>139</v>
      </c>
      <c r="D52" s="16" t="s">
        <v>90</v>
      </c>
      <c r="E52" s="16" t="s">
        <v>35</v>
      </c>
      <c r="F52" s="16" t="s">
        <v>39</v>
      </c>
      <c r="G52" s="16">
        <v>27.36</v>
      </c>
      <c r="H52" s="42"/>
      <c r="I52" s="20"/>
      <c r="J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5.75" customHeight="1" x14ac:dyDescent="0.25">
      <c r="A53" s="2"/>
      <c r="B53" s="26"/>
      <c r="C53" s="2"/>
      <c r="D53" s="2"/>
      <c r="E53" s="2"/>
      <c r="F53" s="2"/>
      <c r="G53" s="2"/>
      <c r="H53" s="42"/>
      <c r="I53" s="20"/>
      <c r="J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5.75" customHeight="1" x14ac:dyDescent="0.25">
      <c r="A54" s="22"/>
      <c r="B54" s="1"/>
      <c r="C54" s="20"/>
      <c r="H54" s="4"/>
      <c r="I54" s="20"/>
      <c r="J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ht="27" customHeight="1" x14ac:dyDescent="0.35">
      <c r="A55" s="8" t="s">
        <v>84</v>
      </c>
      <c r="B55" s="7"/>
      <c r="F55" s="11"/>
      <c r="G55" s="11"/>
      <c r="H55" s="4"/>
    </row>
    <row r="56" spans="1:24" x14ac:dyDescent="0.25">
      <c r="A56" s="13" t="s">
        <v>3</v>
      </c>
      <c r="B56" s="13" t="s">
        <v>4</v>
      </c>
      <c r="C56" s="14" t="s">
        <v>5</v>
      </c>
      <c r="D56" s="14" t="s">
        <v>6</v>
      </c>
      <c r="E56" s="14" t="s">
        <v>10</v>
      </c>
      <c r="F56" s="14" t="s">
        <v>7</v>
      </c>
      <c r="G56" s="14" t="s">
        <v>8</v>
      </c>
      <c r="I56" s="15"/>
      <c r="J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ht="15.75" customHeight="1" x14ac:dyDescent="0.25">
      <c r="A57" s="31">
        <v>6309</v>
      </c>
      <c r="B57" s="17">
        <v>1</v>
      </c>
      <c r="C57" s="31" t="s">
        <v>140</v>
      </c>
      <c r="D57" s="31" t="s">
        <v>141</v>
      </c>
      <c r="E57" s="31" t="s">
        <v>66</v>
      </c>
      <c r="F57" s="31" t="s">
        <v>142</v>
      </c>
      <c r="G57" s="31">
        <v>58.42</v>
      </c>
      <c r="H57" s="43"/>
    </row>
    <row r="58" spans="1:24" ht="15.75" customHeight="1" x14ac:dyDescent="0.25">
      <c r="A58" s="31">
        <v>5521</v>
      </c>
      <c r="B58" s="17">
        <v>2</v>
      </c>
      <c r="C58" s="31" t="s">
        <v>143</v>
      </c>
      <c r="D58" s="31" t="s">
        <v>145</v>
      </c>
      <c r="E58" s="31" t="s">
        <v>146</v>
      </c>
      <c r="F58" s="31" t="s">
        <v>21</v>
      </c>
      <c r="G58" s="31">
        <v>48.38</v>
      </c>
      <c r="H58" s="43"/>
      <c r="I58" s="20"/>
      <c r="J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15.75" customHeight="1" x14ac:dyDescent="0.25">
      <c r="A59" s="31">
        <v>6312</v>
      </c>
      <c r="B59" s="17">
        <v>3</v>
      </c>
      <c r="C59" s="31" t="s">
        <v>148</v>
      </c>
      <c r="D59" s="31" t="s">
        <v>130</v>
      </c>
      <c r="E59" s="31" t="s">
        <v>66</v>
      </c>
      <c r="F59" s="31" t="s">
        <v>17</v>
      </c>
      <c r="G59" s="31">
        <v>31.44</v>
      </c>
      <c r="H59" s="43"/>
      <c r="I59" s="4"/>
      <c r="J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5.75" customHeight="1" x14ac:dyDescent="0.25">
      <c r="A60" s="31">
        <v>6316</v>
      </c>
      <c r="B60" s="17">
        <v>4</v>
      </c>
      <c r="C60" s="31" t="s">
        <v>151</v>
      </c>
      <c r="D60" s="31" t="s">
        <v>152</v>
      </c>
      <c r="E60" s="31" t="s">
        <v>66</v>
      </c>
      <c r="F60" s="31" t="s">
        <v>154</v>
      </c>
      <c r="G60" s="31">
        <v>29.74</v>
      </c>
      <c r="H60" s="43"/>
      <c r="I60" s="4"/>
      <c r="J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ht="15.75" customHeight="1" x14ac:dyDescent="0.25">
      <c r="A61" s="31">
        <v>4344</v>
      </c>
      <c r="B61" s="17">
        <v>5</v>
      </c>
      <c r="C61" s="31" t="s">
        <v>155</v>
      </c>
      <c r="D61" s="31" t="s">
        <v>156</v>
      </c>
      <c r="E61" s="31" t="s">
        <v>35</v>
      </c>
      <c r="F61" s="31" t="s">
        <v>36</v>
      </c>
      <c r="G61" s="31">
        <v>25.28</v>
      </c>
      <c r="H61" s="43"/>
      <c r="I61" s="4"/>
      <c r="J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15.75" customHeight="1" x14ac:dyDescent="0.25">
      <c r="A62" s="31">
        <v>6387</v>
      </c>
      <c r="B62" s="17">
        <v>6</v>
      </c>
      <c r="C62" s="31" t="s">
        <v>147</v>
      </c>
      <c r="D62" s="31" t="s">
        <v>149</v>
      </c>
      <c r="E62" s="31" t="s">
        <v>66</v>
      </c>
      <c r="F62" s="31" t="s">
        <v>142</v>
      </c>
      <c r="G62" s="31">
        <v>23.16</v>
      </c>
      <c r="H62" s="43"/>
      <c r="I62" s="4"/>
      <c r="J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ht="15.75" customHeight="1" x14ac:dyDescent="0.25">
      <c r="A63" s="31">
        <v>4355</v>
      </c>
      <c r="B63" s="17">
        <v>7</v>
      </c>
      <c r="C63" s="31" t="s">
        <v>157</v>
      </c>
      <c r="D63" s="31" t="s">
        <v>158</v>
      </c>
      <c r="E63" s="31" t="s">
        <v>35</v>
      </c>
      <c r="F63" s="31" t="s">
        <v>45</v>
      </c>
      <c r="G63" s="31">
        <v>22.58</v>
      </c>
      <c r="H63" s="43"/>
      <c r="I63" s="4"/>
      <c r="J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15.75" customHeight="1" x14ac:dyDescent="0.25">
      <c r="A64" s="31">
        <v>2008</v>
      </c>
      <c r="B64" s="17">
        <v>8</v>
      </c>
      <c r="C64" s="31" t="s">
        <v>159</v>
      </c>
      <c r="D64" s="31" t="s">
        <v>160</v>
      </c>
      <c r="E64" s="31" t="s">
        <v>24</v>
      </c>
      <c r="F64" s="31" t="s">
        <v>27</v>
      </c>
      <c r="G64" s="31">
        <v>17.22</v>
      </c>
      <c r="H64" s="43"/>
      <c r="I64" s="4"/>
      <c r="J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ht="15.75" customHeight="1" x14ac:dyDescent="0.25">
      <c r="A65" s="31">
        <v>6426</v>
      </c>
      <c r="B65" s="17">
        <v>9</v>
      </c>
      <c r="C65" s="31" t="s">
        <v>150</v>
      </c>
      <c r="D65" s="31" t="s">
        <v>153</v>
      </c>
      <c r="E65" s="31" t="s">
        <v>66</v>
      </c>
      <c r="F65" s="31" t="s">
        <v>83</v>
      </c>
      <c r="G65" s="31">
        <v>9.82</v>
      </c>
      <c r="H65" s="43"/>
      <c r="I65" s="4"/>
      <c r="J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5.75" customHeight="1" x14ac:dyDescent="0.25">
      <c r="A66" s="31">
        <v>2028</v>
      </c>
      <c r="B66" s="17">
        <v>10</v>
      </c>
      <c r="C66" s="31" t="s">
        <v>161</v>
      </c>
      <c r="D66" s="31" t="s">
        <v>162</v>
      </c>
      <c r="E66" s="31" t="s">
        <v>66</v>
      </c>
      <c r="F66" s="31" t="s">
        <v>142</v>
      </c>
      <c r="G66" s="31">
        <v>7.88</v>
      </c>
      <c r="H66" s="43"/>
      <c r="I66" s="4"/>
      <c r="J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5.75" customHeight="1" x14ac:dyDescent="0.25">
      <c r="A67" s="31">
        <v>6302</v>
      </c>
      <c r="B67" s="17">
        <v>11</v>
      </c>
      <c r="C67" s="31" t="s">
        <v>163</v>
      </c>
      <c r="D67" s="31" t="s">
        <v>164</v>
      </c>
      <c r="E67" s="31" t="s">
        <v>66</v>
      </c>
      <c r="F67" s="31" t="s">
        <v>142</v>
      </c>
      <c r="G67" s="31">
        <v>6</v>
      </c>
      <c r="H67" s="43"/>
      <c r="I67" s="4"/>
      <c r="J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5.75" customHeight="1" x14ac:dyDescent="0.25">
      <c r="A68" s="31">
        <v>4101</v>
      </c>
      <c r="B68" s="17">
        <v>12</v>
      </c>
      <c r="C68" s="31" t="s">
        <v>140</v>
      </c>
      <c r="D68" s="31" t="s">
        <v>144</v>
      </c>
      <c r="E68" s="31" t="s">
        <v>19</v>
      </c>
      <c r="F68" s="31" t="s">
        <v>20</v>
      </c>
      <c r="G68" s="31">
        <v>5.66</v>
      </c>
      <c r="H68" s="43"/>
      <c r="I68" s="4"/>
      <c r="J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5.75" customHeight="1" x14ac:dyDescent="0.25">
      <c r="A69" s="45">
        <v>5993</v>
      </c>
      <c r="B69" s="17">
        <v>13</v>
      </c>
      <c r="C69" s="45" t="s">
        <v>165</v>
      </c>
      <c r="D69" s="46" t="s">
        <v>166</v>
      </c>
      <c r="E69" s="46" t="s">
        <v>32</v>
      </c>
      <c r="F69" s="46" t="s">
        <v>42</v>
      </c>
      <c r="G69" s="45">
        <v>0</v>
      </c>
      <c r="H69" s="10"/>
      <c r="I69" s="4"/>
      <c r="J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15.75" customHeight="1" x14ac:dyDescent="0.25">
      <c r="A70" s="26"/>
      <c r="B70" s="26"/>
    </row>
    <row r="71" spans="1:24" ht="27" customHeight="1" x14ac:dyDescent="0.35">
      <c r="A71" s="7"/>
      <c r="B71" s="8" t="s">
        <v>7</v>
      </c>
      <c r="C71" s="9"/>
      <c r="F71" s="11"/>
      <c r="G71" s="11"/>
      <c r="H71" s="4"/>
    </row>
    <row r="72" spans="1:24" ht="15.75" customHeight="1" x14ac:dyDescent="0.25">
      <c r="A72" s="13" t="s">
        <v>167</v>
      </c>
      <c r="B72" s="13" t="s">
        <v>3</v>
      </c>
      <c r="C72" s="14" t="s">
        <v>5</v>
      </c>
      <c r="D72" s="14" t="s">
        <v>6</v>
      </c>
      <c r="E72" s="14" t="s">
        <v>10</v>
      </c>
      <c r="F72" s="14" t="s">
        <v>7</v>
      </c>
      <c r="G72" s="14" t="s">
        <v>168</v>
      </c>
      <c r="I72" s="15"/>
      <c r="J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ht="15.75" customHeight="1" x14ac:dyDescent="0.25">
      <c r="A73" s="16"/>
      <c r="B73" s="34">
        <v>3502</v>
      </c>
      <c r="C73" s="33" t="s">
        <v>134</v>
      </c>
      <c r="D73" s="33" t="s">
        <v>135</v>
      </c>
      <c r="E73" s="33" t="s">
        <v>18</v>
      </c>
      <c r="F73" s="33" t="s">
        <v>21</v>
      </c>
      <c r="G73" s="35">
        <v>24.12</v>
      </c>
      <c r="H73" s="25"/>
    </row>
    <row r="74" spans="1:24" ht="15.75" customHeight="1" x14ac:dyDescent="0.25">
      <c r="A74" s="47"/>
      <c r="B74" s="34">
        <v>3512</v>
      </c>
      <c r="C74" s="33" t="s">
        <v>14</v>
      </c>
      <c r="D74" s="33" t="s">
        <v>15</v>
      </c>
      <c r="E74" s="33" t="s">
        <v>18</v>
      </c>
      <c r="F74" s="33" t="s">
        <v>21</v>
      </c>
      <c r="G74" s="35">
        <v>105.64</v>
      </c>
      <c r="H74" s="25"/>
    </row>
    <row r="75" spans="1:24" ht="15.75" customHeight="1" x14ac:dyDescent="0.25">
      <c r="A75" s="47"/>
      <c r="B75" s="34">
        <v>5521</v>
      </c>
      <c r="C75" s="33" t="s">
        <v>143</v>
      </c>
      <c r="D75" s="33" t="s">
        <v>145</v>
      </c>
      <c r="E75" s="33" t="s">
        <v>146</v>
      </c>
      <c r="F75" s="33" t="s">
        <v>21</v>
      </c>
      <c r="G75" s="35">
        <v>48.38</v>
      </c>
      <c r="H75" s="25"/>
    </row>
    <row r="76" spans="1:24" ht="16.5" customHeight="1" x14ac:dyDescent="0.25">
      <c r="A76" s="47"/>
      <c r="B76" s="34">
        <v>2843</v>
      </c>
      <c r="C76" s="33" t="s">
        <v>86</v>
      </c>
      <c r="D76" s="33" t="s">
        <v>87</v>
      </c>
      <c r="E76" s="33" t="s">
        <v>88</v>
      </c>
      <c r="F76" s="33" t="s">
        <v>21</v>
      </c>
      <c r="G76" s="35">
        <v>28.02</v>
      </c>
      <c r="H76" s="25"/>
    </row>
    <row r="77" spans="1:24" ht="16.5" customHeight="1" x14ac:dyDescent="0.25">
      <c r="A77" s="47">
        <v>1</v>
      </c>
      <c r="B77" s="47"/>
      <c r="C77" s="33"/>
      <c r="D77" s="33"/>
      <c r="E77" s="33"/>
      <c r="F77" s="48" t="s">
        <v>169</v>
      </c>
      <c r="G77" s="50">
        <f>SUM(G73:G76)</f>
        <v>206.16</v>
      </c>
      <c r="H77" s="51"/>
    </row>
    <row r="78" spans="1:24" ht="15.75" customHeight="1" x14ac:dyDescent="0.25">
      <c r="A78" s="17"/>
      <c r="B78" s="34">
        <v>4307</v>
      </c>
      <c r="C78" s="33" t="s">
        <v>126</v>
      </c>
      <c r="D78" s="33" t="s">
        <v>127</v>
      </c>
      <c r="E78" s="33" t="s">
        <v>35</v>
      </c>
      <c r="F78" s="33" t="s">
        <v>36</v>
      </c>
      <c r="G78" s="35">
        <v>38.5</v>
      </c>
    </row>
    <row r="79" spans="1:24" ht="15.75" customHeight="1" x14ac:dyDescent="0.25">
      <c r="A79" s="16"/>
      <c r="B79" s="34">
        <v>4316</v>
      </c>
      <c r="C79" s="33" t="s">
        <v>54</v>
      </c>
      <c r="D79" s="33" t="s">
        <v>41</v>
      </c>
      <c r="E79" s="33" t="s">
        <v>35</v>
      </c>
      <c r="F79" s="33" t="s">
        <v>36</v>
      </c>
      <c r="G79" s="35">
        <v>41.76</v>
      </c>
    </row>
    <row r="80" spans="1:24" ht="15.75" customHeight="1" x14ac:dyDescent="0.25">
      <c r="A80" s="16"/>
      <c r="B80" s="34">
        <v>4337</v>
      </c>
      <c r="C80" s="33" t="s">
        <v>31</v>
      </c>
      <c r="D80" s="33" t="s">
        <v>33</v>
      </c>
      <c r="E80" s="33" t="s">
        <v>35</v>
      </c>
      <c r="F80" s="33" t="s">
        <v>36</v>
      </c>
      <c r="G80" s="35">
        <v>51.5</v>
      </c>
    </row>
    <row r="81" spans="1:7" ht="15.75" customHeight="1" x14ac:dyDescent="0.25">
      <c r="A81" s="16"/>
      <c r="B81" s="34">
        <v>4344</v>
      </c>
      <c r="C81" s="33" t="s">
        <v>155</v>
      </c>
      <c r="D81" s="33" t="s">
        <v>156</v>
      </c>
      <c r="E81" s="33" t="s">
        <v>35</v>
      </c>
      <c r="F81" s="33" t="s">
        <v>36</v>
      </c>
      <c r="G81" s="35">
        <v>25.28</v>
      </c>
    </row>
    <row r="82" spans="1:7" ht="15.75" customHeight="1" x14ac:dyDescent="0.25">
      <c r="A82" s="47">
        <v>2</v>
      </c>
      <c r="B82" s="16"/>
      <c r="C82" s="33"/>
      <c r="D82" s="33"/>
      <c r="E82" s="33"/>
      <c r="F82" s="48" t="s">
        <v>169</v>
      </c>
      <c r="G82" s="50">
        <f>SUM(G78:G81)</f>
        <v>157.04</v>
      </c>
    </row>
    <row r="83" spans="1:7" ht="15.75" customHeight="1" x14ac:dyDescent="0.25">
      <c r="A83" s="16"/>
      <c r="B83" s="34">
        <v>2000</v>
      </c>
      <c r="C83" s="33" t="s">
        <v>22</v>
      </c>
      <c r="D83" s="33" t="s">
        <v>23</v>
      </c>
      <c r="E83" s="33" t="s">
        <v>24</v>
      </c>
      <c r="F83" s="33" t="s">
        <v>27</v>
      </c>
      <c r="G83" s="35">
        <v>18.739999999999998</v>
      </c>
    </row>
    <row r="84" spans="1:7" ht="15.75" customHeight="1" x14ac:dyDescent="0.25">
      <c r="A84" s="16"/>
      <c r="B84" s="34">
        <v>2001</v>
      </c>
      <c r="C84" s="33" t="s">
        <v>46</v>
      </c>
      <c r="D84" s="33" t="s">
        <v>47</v>
      </c>
      <c r="E84" s="33" t="s">
        <v>24</v>
      </c>
      <c r="F84" s="33" t="s">
        <v>27</v>
      </c>
      <c r="G84" s="35">
        <v>50.1</v>
      </c>
    </row>
    <row r="85" spans="1:7" ht="15.75" customHeight="1" x14ac:dyDescent="0.25">
      <c r="A85" s="16"/>
      <c r="B85" s="34">
        <v>2008</v>
      </c>
      <c r="C85" s="33" t="s">
        <v>159</v>
      </c>
      <c r="D85" s="33" t="s">
        <v>160</v>
      </c>
      <c r="E85" s="33" t="s">
        <v>24</v>
      </c>
      <c r="F85" s="33" t="s">
        <v>27</v>
      </c>
      <c r="G85" s="35">
        <v>17.22</v>
      </c>
    </row>
    <row r="86" spans="1:7" ht="15.75" customHeight="1" x14ac:dyDescent="0.25">
      <c r="A86" s="16"/>
      <c r="B86" s="34">
        <v>2011</v>
      </c>
      <c r="C86" s="33" t="s">
        <v>136</v>
      </c>
      <c r="D86" s="33" t="s">
        <v>47</v>
      </c>
      <c r="E86" s="33" t="s">
        <v>24</v>
      </c>
      <c r="F86" s="33" t="s">
        <v>27</v>
      </c>
      <c r="G86" s="35">
        <v>59.52</v>
      </c>
    </row>
    <row r="87" spans="1:7" ht="15.75" customHeight="1" x14ac:dyDescent="0.25">
      <c r="A87" s="47">
        <v>3</v>
      </c>
      <c r="B87" s="16"/>
      <c r="C87" s="33"/>
      <c r="D87" s="33"/>
      <c r="E87" s="33"/>
      <c r="F87" s="49" t="s">
        <v>169</v>
      </c>
      <c r="G87" s="50">
        <f>SUM(G83:G86)</f>
        <v>145.58000000000001</v>
      </c>
    </row>
    <row r="88" spans="1:7" ht="15.75" customHeight="1" x14ac:dyDescent="0.25">
      <c r="A88" s="16"/>
      <c r="B88" s="34">
        <v>1771</v>
      </c>
      <c r="C88" s="33" t="s">
        <v>50</v>
      </c>
      <c r="D88" s="33" t="s">
        <v>51</v>
      </c>
      <c r="E88" s="33" t="s">
        <v>26</v>
      </c>
      <c r="F88" s="33" t="s">
        <v>28</v>
      </c>
      <c r="G88" s="35">
        <v>49.9</v>
      </c>
    </row>
    <row r="89" spans="1:7" ht="15.75" customHeight="1" x14ac:dyDescent="0.25">
      <c r="A89" s="16"/>
      <c r="B89" s="34">
        <v>1772</v>
      </c>
      <c r="C89" s="33" t="s">
        <v>68</v>
      </c>
      <c r="D89" s="33" t="s">
        <v>69</v>
      </c>
      <c r="E89" s="33" t="s">
        <v>26</v>
      </c>
      <c r="F89" s="33" t="s">
        <v>28</v>
      </c>
      <c r="G89" s="35">
        <v>37.1</v>
      </c>
    </row>
    <row r="90" spans="1:7" ht="15.75" customHeight="1" x14ac:dyDescent="0.25">
      <c r="A90" s="16"/>
      <c r="B90" s="34">
        <v>1800</v>
      </c>
      <c r="C90" s="33" t="s">
        <v>22</v>
      </c>
      <c r="D90" s="33" t="s">
        <v>25</v>
      </c>
      <c r="E90" s="33" t="s">
        <v>26</v>
      </c>
      <c r="F90" s="33" t="s">
        <v>28</v>
      </c>
      <c r="G90" s="35">
        <v>53.06</v>
      </c>
    </row>
    <row r="91" spans="1:7" ht="15.75" customHeight="1" x14ac:dyDescent="0.25">
      <c r="A91" s="16"/>
      <c r="B91" s="34">
        <v>1831</v>
      </c>
      <c r="C91" s="33" t="s">
        <v>52</v>
      </c>
      <c r="D91" s="33" t="s">
        <v>53</v>
      </c>
      <c r="E91" s="33" t="s">
        <v>26</v>
      </c>
      <c r="F91" s="33" t="s">
        <v>28</v>
      </c>
      <c r="G91" s="35">
        <v>1.1200000000000001</v>
      </c>
    </row>
    <row r="92" spans="1:7" ht="15.75" customHeight="1" x14ac:dyDescent="0.25">
      <c r="A92" s="52">
        <v>4</v>
      </c>
      <c r="B92" s="16"/>
      <c r="C92" s="17"/>
      <c r="D92" s="16"/>
      <c r="E92" s="16"/>
      <c r="F92" s="49" t="s">
        <v>169</v>
      </c>
      <c r="G92" s="50">
        <f>SUM(G88:G91)</f>
        <v>141.18</v>
      </c>
    </row>
    <row r="93" spans="1:7" ht="15.75" customHeight="1" x14ac:dyDescent="0.25">
      <c r="A93" s="16"/>
      <c r="B93" s="34">
        <v>5969</v>
      </c>
      <c r="C93" s="33" t="s">
        <v>48</v>
      </c>
      <c r="D93" s="33" t="s">
        <v>49</v>
      </c>
      <c r="E93" s="33" t="s">
        <v>32</v>
      </c>
      <c r="F93" s="33" t="s">
        <v>34</v>
      </c>
      <c r="G93" s="35">
        <v>30.62</v>
      </c>
    </row>
    <row r="94" spans="1:7" ht="15.75" customHeight="1" x14ac:dyDescent="0.25">
      <c r="A94" s="16"/>
      <c r="B94" s="34">
        <v>5978</v>
      </c>
      <c r="C94" s="33" t="s">
        <v>29</v>
      </c>
      <c r="D94" s="33" t="s">
        <v>30</v>
      </c>
      <c r="E94" s="33" t="s">
        <v>32</v>
      </c>
      <c r="F94" s="33" t="s">
        <v>34</v>
      </c>
      <c r="G94" s="35">
        <v>25.44</v>
      </c>
    </row>
    <row r="95" spans="1:7" ht="15.75" customHeight="1" x14ac:dyDescent="0.25">
      <c r="A95" s="16"/>
      <c r="B95" s="34">
        <v>5986</v>
      </c>
      <c r="C95" s="33" t="s">
        <v>85</v>
      </c>
      <c r="D95" s="33" t="s">
        <v>56</v>
      </c>
      <c r="E95" s="33" t="s">
        <v>32</v>
      </c>
      <c r="F95" s="33" t="s">
        <v>34</v>
      </c>
      <c r="G95" s="35">
        <v>28.16</v>
      </c>
    </row>
    <row r="96" spans="1:7" ht="15.75" customHeight="1" x14ac:dyDescent="0.25">
      <c r="A96" s="16"/>
      <c r="B96" s="34">
        <v>5987</v>
      </c>
      <c r="C96" s="33" t="s">
        <v>60</v>
      </c>
      <c r="D96" s="33" t="s">
        <v>61</v>
      </c>
      <c r="E96" s="33" t="s">
        <v>32</v>
      </c>
      <c r="F96" s="33" t="s">
        <v>34</v>
      </c>
      <c r="G96" s="35">
        <v>41.58</v>
      </c>
    </row>
    <row r="97" spans="1:7" ht="15.75" customHeight="1" x14ac:dyDescent="0.25">
      <c r="A97" s="47">
        <v>5</v>
      </c>
      <c r="B97" s="16"/>
      <c r="C97" s="33"/>
      <c r="D97" s="33"/>
      <c r="E97" s="33"/>
      <c r="F97" s="48" t="s">
        <v>169</v>
      </c>
      <c r="G97" s="50">
        <f>SUM(G93:G96)</f>
        <v>125.8</v>
      </c>
    </row>
    <row r="98" spans="1:7" ht="15.75" customHeight="1" x14ac:dyDescent="0.25">
      <c r="A98" s="16"/>
      <c r="B98" s="34">
        <v>4318</v>
      </c>
      <c r="C98" s="33" t="s">
        <v>132</v>
      </c>
      <c r="D98" s="33" t="s">
        <v>133</v>
      </c>
      <c r="E98" s="33" t="s">
        <v>35</v>
      </c>
      <c r="F98" s="33" t="s">
        <v>39</v>
      </c>
      <c r="G98" s="35">
        <v>11.42</v>
      </c>
    </row>
    <row r="99" spans="1:7" ht="15.75" customHeight="1" x14ac:dyDescent="0.25">
      <c r="A99" s="16"/>
      <c r="B99" s="34">
        <v>4152</v>
      </c>
      <c r="C99" s="33" t="s">
        <v>37</v>
      </c>
      <c r="D99" s="33" t="s">
        <v>38</v>
      </c>
      <c r="E99" s="33" t="s">
        <v>19</v>
      </c>
      <c r="F99" s="33" t="s">
        <v>39</v>
      </c>
      <c r="G99" s="35">
        <v>41.6</v>
      </c>
    </row>
    <row r="100" spans="1:7" ht="15.75" customHeight="1" x14ac:dyDescent="0.25">
      <c r="A100" s="16"/>
      <c r="B100" s="34">
        <v>4229</v>
      </c>
      <c r="C100" s="33" t="s">
        <v>64</v>
      </c>
      <c r="D100" s="33" t="s">
        <v>65</v>
      </c>
      <c r="E100" s="33" t="s">
        <v>19</v>
      </c>
      <c r="F100" s="33" t="s">
        <v>39</v>
      </c>
      <c r="G100" s="35">
        <v>40.799999999999997</v>
      </c>
    </row>
    <row r="101" spans="1:7" ht="15.75" customHeight="1" x14ac:dyDescent="0.25">
      <c r="A101" s="16"/>
      <c r="B101" s="34">
        <v>4311</v>
      </c>
      <c r="C101" s="33" t="s">
        <v>139</v>
      </c>
      <c r="D101" s="33" t="s">
        <v>90</v>
      </c>
      <c r="E101" s="33" t="s">
        <v>35</v>
      </c>
      <c r="F101" s="33" t="s">
        <v>39</v>
      </c>
      <c r="G101" s="35">
        <v>27.36</v>
      </c>
    </row>
    <row r="102" spans="1:7" ht="15.75" customHeight="1" x14ac:dyDescent="0.25">
      <c r="A102" s="47">
        <v>6</v>
      </c>
      <c r="B102" s="16"/>
      <c r="C102" s="33"/>
      <c r="D102" s="33"/>
      <c r="E102" s="33"/>
      <c r="F102" s="48" t="s">
        <v>169</v>
      </c>
      <c r="G102" s="50">
        <f>SUM(G98:G101)</f>
        <v>121.17999999999999</v>
      </c>
    </row>
    <row r="103" spans="1:7" ht="15.75" customHeight="1" x14ac:dyDescent="0.25">
      <c r="A103" s="16"/>
      <c r="B103" s="34">
        <v>5939</v>
      </c>
      <c r="C103" s="33" t="s">
        <v>137</v>
      </c>
      <c r="D103" s="33" t="s">
        <v>87</v>
      </c>
      <c r="E103" s="33" t="s">
        <v>32</v>
      </c>
      <c r="F103" s="33" t="s">
        <v>42</v>
      </c>
      <c r="G103" s="35">
        <v>39.68</v>
      </c>
    </row>
    <row r="104" spans="1:7" ht="15.75" customHeight="1" x14ac:dyDescent="0.25">
      <c r="A104" s="16"/>
      <c r="B104" s="34">
        <v>5990</v>
      </c>
      <c r="C104" s="33" t="s">
        <v>79</v>
      </c>
      <c r="D104" s="33" t="s">
        <v>81</v>
      </c>
      <c r="E104" s="33" t="s">
        <v>32</v>
      </c>
      <c r="F104" s="33" t="s">
        <v>42</v>
      </c>
      <c r="G104" s="35">
        <v>18.82</v>
      </c>
    </row>
    <row r="105" spans="1:7" ht="15.75" customHeight="1" x14ac:dyDescent="0.25">
      <c r="A105" s="16"/>
      <c r="B105" s="34">
        <v>5993</v>
      </c>
      <c r="C105" s="33" t="s">
        <v>165</v>
      </c>
      <c r="D105" s="33" t="s">
        <v>166</v>
      </c>
      <c r="E105" s="33" t="s">
        <v>32</v>
      </c>
      <c r="F105" s="33" t="s">
        <v>42</v>
      </c>
      <c r="G105" s="35">
        <v>0</v>
      </c>
    </row>
    <row r="106" spans="1:7" ht="15.75" customHeight="1" x14ac:dyDescent="0.25">
      <c r="A106" s="16"/>
      <c r="B106" s="34">
        <v>5995</v>
      </c>
      <c r="C106" s="33" t="s">
        <v>40</v>
      </c>
      <c r="D106" s="33" t="s">
        <v>41</v>
      </c>
      <c r="E106" s="33" t="s">
        <v>32</v>
      </c>
      <c r="F106" s="33" t="s">
        <v>42</v>
      </c>
      <c r="G106" s="35">
        <v>51</v>
      </c>
    </row>
    <row r="107" spans="1:7" ht="15.75" customHeight="1" x14ac:dyDescent="0.25">
      <c r="A107" s="47">
        <v>7</v>
      </c>
      <c r="B107" s="16"/>
      <c r="C107" s="33"/>
      <c r="D107" s="33"/>
      <c r="E107" s="33"/>
      <c r="F107" s="48" t="s">
        <v>169</v>
      </c>
      <c r="G107" s="50">
        <f>SUM(G103:G106)</f>
        <v>109.5</v>
      </c>
    </row>
    <row r="108" spans="1:7" ht="15.75" customHeight="1" x14ac:dyDescent="0.25">
      <c r="A108" s="16"/>
      <c r="B108" s="34">
        <v>4319</v>
      </c>
      <c r="C108" s="33" t="s">
        <v>91</v>
      </c>
      <c r="D108" s="33" t="s">
        <v>92</v>
      </c>
      <c r="E108" s="33" t="s">
        <v>35</v>
      </c>
      <c r="F108" s="33" t="s">
        <v>45</v>
      </c>
      <c r="G108" s="35">
        <v>18.399999999999999</v>
      </c>
    </row>
    <row r="109" spans="1:7" ht="15.75" customHeight="1" x14ac:dyDescent="0.25">
      <c r="A109" s="16"/>
      <c r="B109" s="34">
        <v>4341</v>
      </c>
      <c r="C109" s="33" t="s">
        <v>43</v>
      </c>
      <c r="D109" s="33" t="s">
        <v>44</v>
      </c>
      <c r="E109" s="33" t="s">
        <v>35</v>
      </c>
      <c r="F109" s="33" t="s">
        <v>45</v>
      </c>
      <c r="G109" s="35">
        <v>30.28</v>
      </c>
    </row>
    <row r="110" spans="1:7" ht="15.75" customHeight="1" x14ac:dyDescent="0.25">
      <c r="A110" s="16"/>
      <c r="B110" s="34">
        <v>4355</v>
      </c>
      <c r="C110" s="33" t="s">
        <v>157</v>
      </c>
      <c r="D110" s="33" t="s">
        <v>158</v>
      </c>
      <c r="E110" s="33" t="s">
        <v>35</v>
      </c>
      <c r="F110" s="33" t="s">
        <v>45</v>
      </c>
      <c r="G110" s="35">
        <v>22.58</v>
      </c>
    </row>
    <row r="111" spans="1:7" ht="15.75" customHeight="1" x14ac:dyDescent="0.25">
      <c r="A111" s="16"/>
      <c r="B111" s="34">
        <v>4425</v>
      </c>
      <c r="C111" s="33" t="s">
        <v>89</v>
      </c>
      <c r="D111" s="33" t="s">
        <v>90</v>
      </c>
      <c r="E111" s="33" t="s">
        <v>35</v>
      </c>
      <c r="F111" s="33" t="s">
        <v>45</v>
      </c>
      <c r="G111" s="35">
        <v>26.32</v>
      </c>
    </row>
    <row r="112" spans="1:7" ht="15.75" customHeight="1" x14ac:dyDescent="0.25">
      <c r="A112" s="53">
        <v>8</v>
      </c>
      <c r="B112" s="16"/>
      <c r="C112" s="16"/>
      <c r="D112" s="16"/>
      <c r="E112" s="16"/>
      <c r="F112" s="48" t="s">
        <v>169</v>
      </c>
      <c r="G112" s="50">
        <f>SUM(G108:G111)</f>
        <v>97.579999999999984</v>
      </c>
    </row>
    <row r="113" spans="1:7" ht="15.75" customHeight="1" x14ac:dyDescent="0.25">
      <c r="A113" s="16"/>
      <c r="B113" s="34">
        <v>4101</v>
      </c>
      <c r="C113" s="33" t="s">
        <v>140</v>
      </c>
      <c r="D113" s="33" t="s">
        <v>144</v>
      </c>
      <c r="E113" s="33" t="s">
        <v>19</v>
      </c>
      <c r="F113" s="33" t="s">
        <v>20</v>
      </c>
      <c r="G113" s="35">
        <v>5.66</v>
      </c>
    </row>
    <row r="114" spans="1:7" ht="15.75" customHeight="1" x14ac:dyDescent="0.25">
      <c r="A114" s="16"/>
      <c r="B114" s="34">
        <v>4118</v>
      </c>
      <c r="C114" s="33" t="s">
        <v>62</v>
      </c>
      <c r="D114" s="33" t="s">
        <v>63</v>
      </c>
      <c r="E114" s="33" t="s">
        <v>19</v>
      </c>
      <c r="F114" s="33" t="s">
        <v>20</v>
      </c>
      <c r="G114" s="35">
        <v>20</v>
      </c>
    </row>
    <row r="115" spans="1:7" ht="15.75" customHeight="1" x14ac:dyDescent="0.25">
      <c r="A115" s="16"/>
      <c r="B115" s="34">
        <v>4136</v>
      </c>
      <c r="C115" s="33" t="s">
        <v>58</v>
      </c>
      <c r="D115" s="33" t="s">
        <v>59</v>
      </c>
      <c r="E115" s="33" t="s">
        <v>19</v>
      </c>
      <c r="F115" s="33" t="s">
        <v>20</v>
      </c>
      <c r="G115" s="35">
        <v>39.36</v>
      </c>
    </row>
    <row r="116" spans="1:7" ht="15.75" customHeight="1" x14ac:dyDescent="0.25">
      <c r="A116" s="16"/>
      <c r="B116" s="34">
        <v>4164</v>
      </c>
      <c r="C116" s="33" t="s">
        <v>13</v>
      </c>
      <c r="D116" s="33" t="s">
        <v>16</v>
      </c>
      <c r="E116" s="33" t="s">
        <v>19</v>
      </c>
      <c r="F116" s="33" t="s">
        <v>20</v>
      </c>
      <c r="G116" s="35">
        <v>32.42</v>
      </c>
    </row>
    <row r="117" spans="1:7" ht="15.75" customHeight="1" x14ac:dyDescent="0.25">
      <c r="A117" s="53">
        <v>9</v>
      </c>
      <c r="B117" s="16"/>
      <c r="C117" s="16"/>
      <c r="D117" s="16"/>
      <c r="E117" s="16"/>
      <c r="F117" s="49" t="s">
        <v>169</v>
      </c>
      <c r="G117" s="50">
        <f>SUM(G113:G116)</f>
        <v>97.44</v>
      </c>
    </row>
    <row r="118" spans="1:7" ht="15.75" customHeight="1" x14ac:dyDescent="0.25">
      <c r="A118" s="16"/>
      <c r="B118" s="34">
        <v>2028</v>
      </c>
      <c r="C118" s="33" t="s">
        <v>161</v>
      </c>
      <c r="D118" s="33" t="s">
        <v>162</v>
      </c>
      <c r="E118" s="33" t="s">
        <v>66</v>
      </c>
      <c r="F118" s="33" t="s">
        <v>142</v>
      </c>
      <c r="G118" s="35">
        <v>7.88</v>
      </c>
    </row>
    <row r="119" spans="1:7" ht="15.75" customHeight="1" x14ac:dyDescent="0.25">
      <c r="A119" s="16"/>
      <c r="B119" s="34">
        <v>6302</v>
      </c>
      <c r="C119" s="33" t="s">
        <v>163</v>
      </c>
      <c r="D119" s="33" t="s">
        <v>164</v>
      </c>
      <c r="E119" s="33" t="s">
        <v>66</v>
      </c>
      <c r="F119" s="33" t="s">
        <v>142</v>
      </c>
      <c r="G119" s="35">
        <v>6</v>
      </c>
    </row>
    <row r="120" spans="1:7" ht="15.75" customHeight="1" x14ac:dyDescent="0.25">
      <c r="A120" s="16"/>
      <c r="B120" s="34">
        <v>6309</v>
      </c>
      <c r="C120" s="33" t="s">
        <v>140</v>
      </c>
      <c r="D120" s="33" t="s">
        <v>141</v>
      </c>
      <c r="E120" s="33" t="s">
        <v>66</v>
      </c>
      <c r="F120" s="33" t="s">
        <v>142</v>
      </c>
      <c r="G120" s="35">
        <v>58.42</v>
      </c>
    </row>
    <row r="121" spans="1:7" ht="15.75" customHeight="1" x14ac:dyDescent="0.25">
      <c r="A121" s="16"/>
      <c r="B121" s="34">
        <v>6387</v>
      </c>
      <c r="C121" s="33" t="s">
        <v>147</v>
      </c>
      <c r="D121" s="33" t="s">
        <v>149</v>
      </c>
      <c r="E121" s="33" t="s">
        <v>66</v>
      </c>
      <c r="F121" s="33" t="s">
        <v>142</v>
      </c>
      <c r="G121" s="35">
        <v>23.16</v>
      </c>
    </row>
    <row r="122" spans="1:7" ht="15.75" customHeight="1" x14ac:dyDescent="0.25">
      <c r="A122" s="47">
        <v>10</v>
      </c>
      <c r="B122" s="16"/>
      <c r="C122" s="33"/>
      <c r="D122" s="33"/>
      <c r="E122" s="33"/>
      <c r="F122" s="48" t="s">
        <v>169</v>
      </c>
      <c r="G122" s="50">
        <f>SUM(G118:G121)</f>
        <v>95.46</v>
      </c>
    </row>
    <row r="123" spans="1:7" ht="15.75" customHeight="1" x14ac:dyDescent="0.25">
      <c r="A123" s="16"/>
      <c r="B123" s="34">
        <v>6312</v>
      </c>
      <c r="C123" s="33" t="s">
        <v>148</v>
      </c>
      <c r="D123" s="33" t="s">
        <v>130</v>
      </c>
      <c r="E123" s="33" t="s">
        <v>66</v>
      </c>
      <c r="F123" s="33" t="s">
        <v>17</v>
      </c>
      <c r="G123" s="35">
        <v>31.44</v>
      </c>
    </row>
    <row r="124" spans="1:7" ht="15.75" customHeight="1" x14ac:dyDescent="0.25">
      <c r="A124" s="16"/>
      <c r="B124" s="34">
        <v>6324</v>
      </c>
      <c r="C124" s="33" t="s">
        <v>11</v>
      </c>
      <c r="D124" s="33" t="s">
        <v>12</v>
      </c>
      <c r="E124" s="33" t="s">
        <v>66</v>
      </c>
      <c r="F124" s="33" t="s">
        <v>17</v>
      </c>
      <c r="G124" s="35">
        <v>12.9</v>
      </c>
    </row>
    <row r="125" spans="1:7" ht="15.75" customHeight="1" x14ac:dyDescent="0.25">
      <c r="A125" s="16"/>
      <c r="B125" s="34">
        <v>6361</v>
      </c>
      <c r="C125" s="33" t="s">
        <v>128</v>
      </c>
      <c r="D125" s="33" t="s">
        <v>130</v>
      </c>
      <c r="E125" s="33" t="s">
        <v>66</v>
      </c>
      <c r="F125" s="33" t="s">
        <v>17</v>
      </c>
      <c r="G125" s="35">
        <v>27.26</v>
      </c>
    </row>
    <row r="126" spans="1:7" ht="15.75" customHeight="1" x14ac:dyDescent="0.25">
      <c r="A126" s="16"/>
      <c r="B126" s="34">
        <v>6413</v>
      </c>
      <c r="C126" s="33" t="s">
        <v>70</v>
      </c>
      <c r="D126" s="33" t="s">
        <v>71</v>
      </c>
      <c r="E126" s="33" t="s">
        <v>66</v>
      </c>
      <c r="F126" s="33" t="s">
        <v>17</v>
      </c>
      <c r="G126" s="35">
        <v>21.88</v>
      </c>
    </row>
    <row r="127" spans="1:7" ht="15.75" customHeight="1" x14ac:dyDescent="0.25">
      <c r="A127" s="47">
        <v>11</v>
      </c>
      <c r="B127" s="16"/>
      <c r="C127" s="33"/>
      <c r="D127" s="33"/>
      <c r="E127" s="33"/>
      <c r="F127" s="48" t="s">
        <v>169</v>
      </c>
      <c r="G127" s="50">
        <f>SUM(G123:G126)</f>
        <v>93.48</v>
      </c>
    </row>
    <row r="128" spans="1:7" ht="15.75" customHeight="1" x14ac:dyDescent="0.25">
      <c r="A128" s="16"/>
      <c r="B128" s="34">
        <v>6407</v>
      </c>
      <c r="C128" s="33" t="s">
        <v>80</v>
      </c>
      <c r="D128" s="33" t="s">
        <v>82</v>
      </c>
      <c r="E128" s="33" t="s">
        <v>66</v>
      </c>
      <c r="F128" s="33" t="s">
        <v>83</v>
      </c>
      <c r="G128" s="35">
        <v>28.64</v>
      </c>
    </row>
    <row r="129" spans="1:7" ht="15.75" customHeight="1" x14ac:dyDescent="0.25">
      <c r="A129" s="16"/>
      <c r="B129" s="34">
        <v>6426</v>
      </c>
      <c r="C129" s="33" t="s">
        <v>150</v>
      </c>
      <c r="D129" s="33" t="s">
        <v>153</v>
      </c>
      <c r="E129" s="33" t="s">
        <v>66</v>
      </c>
      <c r="F129" s="33" t="s">
        <v>83</v>
      </c>
      <c r="G129" s="35">
        <v>9.82</v>
      </c>
    </row>
    <row r="130" spans="1:7" ht="15.75" customHeight="1" x14ac:dyDescent="0.25">
      <c r="A130" s="16"/>
      <c r="B130" s="34">
        <v>6427</v>
      </c>
      <c r="C130" s="33" t="s">
        <v>129</v>
      </c>
      <c r="D130" s="33" t="s">
        <v>131</v>
      </c>
      <c r="E130" s="33" t="s">
        <v>66</v>
      </c>
      <c r="F130" s="33" t="s">
        <v>83</v>
      </c>
      <c r="G130" s="35">
        <v>37.14</v>
      </c>
    </row>
    <row r="131" spans="1:7" ht="15.75" customHeight="1" x14ac:dyDescent="0.25">
      <c r="A131" s="16"/>
      <c r="B131" s="34">
        <v>6437</v>
      </c>
      <c r="C131" s="33" t="s">
        <v>109</v>
      </c>
      <c r="D131" s="33" t="s">
        <v>111</v>
      </c>
      <c r="E131" s="33" t="s">
        <v>66</v>
      </c>
      <c r="F131" s="33" t="s">
        <v>83</v>
      </c>
      <c r="G131" s="35">
        <v>1.72</v>
      </c>
    </row>
    <row r="132" spans="1:7" ht="15.75" customHeight="1" x14ac:dyDescent="0.25">
      <c r="A132" s="47">
        <v>12</v>
      </c>
      <c r="B132" s="16"/>
      <c r="C132" s="33"/>
      <c r="D132" s="33"/>
      <c r="E132" s="33"/>
      <c r="F132" s="48" t="s">
        <v>169</v>
      </c>
      <c r="G132" s="50">
        <f>SUM(G128:G131)</f>
        <v>77.319999999999993</v>
      </c>
    </row>
    <row r="133" spans="1:7" ht="15.75" customHeight="1" x14ac:dyDescent="0.25">
      <c r="A133" s="16"/>
      <c r="B133" s="34">
        <v>5946</v>
      </c>
      <c r="C133" s="33" t="s">
        <v>75</v>
      </c>
      <c r="D133" s="33" t="s">
        <v>76</v>
      </c>
      <c r="E133" s="33" t="s">
        <v>32</v>
      </c>
      <c r="F133" s="33" t="s">
        <v>57</v>
      </c>
      <c r="G133" s="35">
        <v>4.26</v>
      </c>
    </row>
    <row r="134" spans="1:7" ht="15.75" customHeight="1" x14ac:dyDescent="0.25">
      <c r="A134" s="16"/>
      <c r="B134" s="34">
        <v>5981</v>
      </c>
      <c r="C134" s="33" t="s">
        <v>72</v>
      </c>
      <c r="D134" s="33" t="s">
        <v>73</v>
      </c>
      <c r="E134" s="33" t="s">
        <v>32</v>
      </c>
      <c r="F134" s="33" t="s">
        <v>57</v>
      </c>
      <c r="G134" s="35">
        <v>32.24</v>
      </c>
    </row>
    <row r="135" spans="1:7" ht="15.75" customHeight="1" x14ac:dyDescent="0.25">
      <c r="A135" s="16"/>
      <c r="B135" s="34">
        <v>5982</v>
      </c>
      <c r="C135" s="33" t="s">
        <v>55</v>
      </c>
      <c r="D135" s="33" t="s">
        <v>56</v>
      </c>
      <c r="E135" s="33" t="s">
        <v>32</v>
      </c>
      <c r="F135" s="33" t="s">
        <v>57</v>
      </c>
      <c r="G135" s="35">
        <v>12.76</v>
      </c>
    </row>
    <row r="136" spans="1:7" ht="15.75" customHeight="1" x14ac:dyDescent="0.25">
      <c r="A136" s="16"/>
      <c r="B136" s="34">
        <v>5992</v>
      </c>
      <c r="C136" s="33" t="s">
        <v>77</v>
      </c>
      <c r="D136" s="33" t="s">
        <v>78</v>
      </c>
      <c r="E136" s="33" t="s">
        <v>32</v>
      </c>
      <c r="F136" s="33" t="s">
        <v>57</v>
      </c>
      <c r="G136" s="35">
        <v>2.1</v>
      </c>
    </row>
    <row r="137" spans="1:7" ht="15.75" customHeight="1" x14ac:dyDescent="0.25">
      <c r="A137" s="16"/>
      <c r="B137" s="34"/>
      <c r="C137" s="33"/>
      <c r="D137" s="33"/>
      <c r="E137" s="33"/>
      <c r="F137" s="48" t="s">
        <v>169</v>
      </c>
      <c r="G137" s="50">
        <f>SUM(G133:G136)</f>
        <v>51.36</v>
      </c>
    </row>
    <row r="138" spans="1:7" ht="15.75" customHeight="1" x14ac:dyDescent="0.25"/>
    <row r="139" spans="1:7" ht="15.75" customHeight="1" x14ac:dyDescent="0.35">
      <c r="B139" s="54" t="s">
        <v>170</v>
      </c>
    </row>
    <row r="140" spans="1:7" ht="15.75" customHeight="1" x14ac:dyDescent="0.25">
      <c r="A140" s="13" t="s">
        <v>167</v>
      </c>
      <c r="B140" s="14" t="s">
        <v>3</v>
      </c>
      <c r="C140" s="14" t="s">
        <v>5</v>
      </c>
      <c r="D140" s="14" t="s">
        <v>6</v>
      </c>
      <c r="E140" s="14" t="s">
        <v>10</v>
      </c>
      <c r="F140" s="14" t="s">
        <v>171</v>
      </c>
      <c r="G140" s="14" t="s">
        <v>168</v>
      </c>
    </row>
    <row r="141" spans="1:7" ht="15.75" customHeight="1" x14ac:dyDescent="0.25">
      <c r="A141" s="55">
        <v>1</v>
      </c>
      <c r="B141" s="56">
        <v>6304</v>
      </c>
      <c r="C141" s="18" t="s">
        <v>60</v>
      </c>
      <c r="D141" s="16" t="s">
        <v>61</v>
      </c>
      <c r="E141" s="16" t="s">
        <v>32</v>
      </c>
      <c r="F141" s="59" t="s">
        <v>172</v>
      </c>
      <c r="G141" s="59">
        <v>27.04</v>
      </c>
    </row>
    <row r="142" spans="1:7" ht="15.75" customHeight="1" x14ac:dyDescent="0.25">
      <c r="A142" s="55">
        <v>2</v>
      </c>
      <c r="B142" s="56">
        <v>4360</v>
      </c>
      <c r="C142" s="60" t="s">
        <v>137</v>
      </c>
      <c r="D142" s="16" t="s">
        <v>87</v>
      </c>
      <c r="E142" s="16" t="s">
        <v>32</v>
      </c>
      <c r="F142" s="59" t="s">
        <v>172</v>
      </c>
      <c r="G142" s="59">
        <v>24.44</v>
      </c>
    </row>
    <row r="143" spans="1:7" ht="15.75" customHeight="1" x14ac:dyDescent="0.25">
      <c r="A143" s="55">
        <v>3</v>
      </c>
      <c r="B143" s="31">
        <v>6312</v>
      </c>
      <c r="C143" s="16" t="s">
        <v>148</v>
      </c>
      <c r="D143" s="33" t="s">
        <v>130</v>
      </c>
      <c r="E143" s="33" t="s">
        <v>66</v>
      </c>
      <c r="F143" s="16" t="s">
        <v>172</v>
      </c>
      <c r="G143" s="16">
        <v>22.9</v>
      </c>
    </row>
    <row r="144" spans="1:7" ht="15.75" customHeight="1" x14ac:dyDescent="0.25">
      <c r="A144" s="55">
        <v>4</v>
      </c>
      <c r="B144" s="31">
        <v>4136</v>
      </c>
      <c r="C144" s="16" t="s">
        <v>58</v>
      </c>
      <c r="D144" s="33" t="s">
        <v>59</v>
      </c>
      <c r="E144" s="33" t="s">
        <v>19</v>
      </c>
      <c r="F144" s="16" t="s">
        <v>172</v>
      </c>
      <c r="G144" s="16">
        <v>22.62</v>
      </c>
    </row>
    <row r="145" spans="1:7" ht="15.75" customHeight="1" x14ac:dyDescent="0.25">
      <c r="A145" s="55">
        <v>5</v>
      </c>
      <c r="B145" s="31">
        <v>6427</v>
      </c>
      <c r="C145" s="16" t="s">
        <v>129</v>
      </c>
      <c r="D145" s="16" t="s">
        <v>131</v>
      </c>
      <c r="E145" s="16" t="s">
        <v>66</v>
      </c>
      <c r="F145" s="16" t="s">
        <v>172</v>
      </c>
      <c r="G145" s="16">
        <v>19.059999999999999</v>
      </c>
    </row>
    <row r="146" spans="1:7" ht="15.75" customHeight="1" x14ac:dyDescent="0.25"/>
    <row r="147" spans="1:7" ht="15.75" customHeight="1" x14ac:dyDescent="0.25"/>
    <row r="148" spans="1:7" ht="15.75" customHeight="1" x14ac:dyDescent="0.25"/>
    <row r="149" spans="1:7" ht="15.75" customHeight="1" x14ac:dyDescent="0.25"/>
    <row r="150" spans="1:7" ht="15.75" customHeight="1" x14ac:dyDescent="0.25"/>
    <row r="151" spans="1:7" ht="15.75" customHeight="1" x14ac:dyDescent="0.25"/>
    <row r="152" spans="1:7" ht="15.75" customHeight="1" x14ac:dyDescent="0.25"/>
    <row r="153" spans="1:7" ht="15.75" customHeight="1" x14ac:dyDescent="0.25"/>
    <row r="154" spans="1:7" ht="15.75" customHeight="1" x14ac:dyDescent="0.25"/>
    <row r="155" spans="1:7" ht="15.75" customHeight="1" x14ac:dyDescent="0.25"/>
    <row r="156" spans="1:7" ht="15.75" customHeight="1" x14ac:dyDescent="0.25"/>
    <row r="157" spans="1:7" ht="15.75" customHeight="1" x14ac:dyDescent="0.25"/>
    <row r="158" spans="1:7" ht="15.75" customHeight="1" x14ac:dyDescent="0.25"/>
    <row r="159" spans="1:7" ht="15.75" customHeight="1" x14ac:dyDescent="0.25"/>
    <row r="160" spans="1:7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spans="1:2" ht="15.75" customHeight="1" x14ac:dyDescent="0.25"/>
    <row r="178" spans="1:2" ht="15.75" customHeight="1" x14ac:dyDescent="0.25"/>
    <row r="179" spans="1:2" ht="15.75" customHeight="1" x14ac:dyDescent="0.25"/>
    <row r="180" spans="1:2" ht="15.75" customHeight="1" x14ac:dyDescent="0.25"/>
    <row r="181" spans="1:2" ht="15.75" customHeight="1" x14ac:dyDescent="0.25"/>
    <row r="182" spans="1:2" ht="15.75" customHeight="1" x14ac:dyDescent="0.25"/>
    <row r="183" spans="1:2" ht="15.75" customHeight="1" x14ac:dyDescent="0.25"/>
    <row r="184" spans="1:2" ht="15.75" customHeight="1" x14ac:dyDescent="0.25"/>
    <row r="185" spans="1:2" ht="15.75" customHeight="1" x14ac:dyDescent="0.25"/>
    <row r="186" spans="1:2" ht="15.75" customHeight="1" x14ac:dyDescent="0.25"/>
    <row r="187" spans="1:2" ht="15.75" customHeight="1" x14ac:dyDescent="0.25"/>
    <row r="188" spans="1:2" ht="15.75" customHeight="1" x14ac:dyDescent="0.25"/>
    <row r="189" spans="1:2" ht="15.75" customHeight="1" x14ac:dyDescent="0.25"/>
    <row r="190" spans="1:2" ht="15.75" customHeight="1" x14ac:dyDescent="0.25"/>
    <row r="191" spans="1:2" ht="15.75" customHeight="1" x14ac:dyDescent="0.25">
      <c r="A191" s="26"/>
      <c r="B191" s="26"/>
    </row>
    <row r="192" spans="1:2" ht="15.75" customHeight="1" x14ac:dyDescent="0.25">
      <c r="A192" s="26"/>
      <c r="B192" s="26"/>
    </row>
    <row r="193" spans="1:2" ht="15.75" customHeight="1" x14ac:dyDescent="0.25">
      <c r="A193" s="26"/>
      <c r="B193" s="26"/>
    </row>
    <row r="194" spans="1:2" ht="15.75" customHeight="1" x14ac:dyDescent="0.25">
      <c r="A194" s="26"/>
      <c r="B194" s="26"/>
    </row>
    <row r="195" spans="1:2" ht="15.75" customHeight="1" x14ac:dyDescent="0.25">
      <c r="A195" s="26"/>
      <c r="B195" s="26"/>
    </row>
    <row r="196" spans="1:2" ht="15.75" customHeight="1" x14ac:dyDescent="0.25">
      <c r="A196" s="26"/>
      <c r="B196" s="26"/>
    </row>
    <row r="197" spans="1:2" ht="15.75" customHeight="1" x14ac:dyDescent="0.25">
      <c r="A197" s="26"/>
      <c r="B197" s="26"/>
    </row>
    <row r="198" spans="1:2" ht="15.75" customHeight="1" x14ac:dyDescent="0.25">
      <c r="A198" s="26"/>
      <c r="B198" s="26"/>
    </row>
    <row r="199" spans="1:2" ht="15.75" customHeight="1" x14ac:dyDescent="0.25">
      <c r="A199" s="26"/>
      <c r="B199" s="26"/>
    </row>
    <row r="200" spans="1:2" ht="15.75" customHeight="1" x14ac:dyDescent="0.25">
      <c r="A200" s="26"/>
      <c r="B200" s="26"/>
    </row>
    <row r="201" spans="1:2" ht="15.75" customHeight="1" x14ac:dyDescent="0.25">
      <c r="A201" s="26"/>
      <c r="B201" s="26"/>
    </row>
    <row r="202" spans="1:2" ht="15.75" customHeight="1" x14ac:dyDescent="0.25">
      <c r="A202" s="26"/>
      <c r="B202" s="26"/>
    </row>
    <row r="203" spans="1:2" ht="15.75" customHeight="1" x14ac:dyDescent="0.25">
      <c r="A203" s="26"/>
      <c r="B203" s="26"/>
    </row>
    <row r="204" spans="1:2" ht="15.75" customHeight="1" x14ac:dyDescent="0.25">
      <c r="A204" s="26"/>
      <c r="B204" s="26"/>
    </row>
    <row r="205" spans="1:2" ht="15.75" customHeight="1" x14ac:dyDescent="0.25">
      <c r="A205" s="26"/>
      <c r="B205" s="26"/>
    </row>
    <row r="206" spans="1:2" ht="15.75" customHeight="1" x14ac:dyDescent="0.25">
      <c r="A206" s="26"/>
      <c r="B206" s="26"/>
    </row>
    <row r="207" spans="1:2" ht="15.75" customHeight="1" x14ac:dyDescent="0.25">
      <c r="A207" s="26"/>
      <c r="B207" s="26"/>
    </row>
    <row r="208" spans="1:2" ht="15.75" customHeight="1" x14ac:dyDescent="0.25">
      <c r="A208" s="26"/>
      <c r="B208" s="26"/>
    </row>
    <row r="209" spans="1:2" ht="15.75" customHeight="1" x14ac:dyDescent="0.25">
      <c r="A209" s="26"/>
      <c r="B209" s="26"/>
    </row>
    <row r="210" spans="1:2" ht="15.75" customHeight="1" x14ac:dyDescent="0.25">
      <c r="A210" s="26"/>
      <c r="B210" s="26"/>
    </row>
    <row r="211" spans="1:2" ht="15.75" customHeight="1" x14ac:dyDescent="0.25">
      <c r="A211" s="26"/>
      <c r="B211" s="26"/>
    </row>
    <row r="212" spans="1:2" ht="15.75" customHeight="1" x14ac:dyDescent="0.25">
      <c r="A212" s="26"/>
      <c r="B212" s="26"/>
    </row>
    <row r="213" spans="1:2" ht="15.75" customHeight="1" x14ac:dyDescent="0.25">
      <c r="A213" s="26"/>
      <c r="B213" s="26"/>
    </row>
    <row r="214" spans="1:2" ht="15.75" customHeight="1" x14ac:dyDescent="0.25">
      <c r="A214" s="26"/>
      <c r="B214" s="26"/>
    </row>
    <row r="215" spans="1:2" ht="15.75" customHeight="1" x14ac:dyDescent="0.25">
      <c r="A215" s="26"/>
      <c r="B215" s="26"/>
    </row>
    <row r="216" spans="1:2" ht="15.75" customHeight="1" x14ac:dyDescent="0.25">
      <c r="A216" s="26"/>
      <c r="B216" s="26"/>
    </row>
    <row r="217" spans="1:2" ht="15.75" customHeight="1" x14ac:dyDescent="0.25">
      <c r="A217" s="26"/>
      <c r="B217" s="26"/>
    </row>
    <row r="218" spans="1:2" ht="15.75" customHeight="1" x14ac:dyDescent="0.25">
      <c r="A218" s="26"/>
      <c r="B218" s="26"/>
    </row>
    <row r="219" spans="1:2" ht="15.75" customHeight="1" x14ac:dyDescent="0.25">
      <c r="A219" s="26"/>
      <c r="B219" s="26"/>
    </row>
    <row r="220" spans="1:2" ht="15.75" customHeight="1" x14ac:dyDescent="0.25">
      <c r="A220" s="26"/>
      <c r="B220" s="26"/>
    </row>
    <row r="221" spans="1:2" ht="15.75" customHeight="1" x14ac:dyDescent="0.25">
      <c r="A221" s="26"/>
      <c r="B221" s="26"/>
    </row>
    <row r="222" spans="1:2" ht="15.75" customHeight="1" x14ac:dyDescent="0.25">
      <c r="A222" s="26"/>
      <c r="B222" s="26"/>
    </row>
    <row r="223" spans="1:2" ht="15.75" customHeight="1" x14ac:dyDescent="0.25">
      <c r="A223" s="26"/>
      <c r="B223" s="26"/>
    </row>
    <row r="224" spans="1:2" ht="15.75" customHeight="1" x14ac:dyDescent="0.25">
      <c r="A224" s="26"/>
      <c r="B224" s="26"/>
    </row>
    <row r="225" spans="1:2" ht="15.75" customHeight="1" x14ac:dyDescent="0.25">
      <c r="A225" s="26"/>
      <c r="B225" s="26"/>
    </row>
    <row r="226" spans="1:2" ht="15.75" customHeight="1" x14ac:dyDescent="0.25">
      <c r="A226" s="26"/>
      <c r="B226" s="26"/>
    </row>
    <row r="227" spans="1:2" ht="15.75" customHeight="1" x14ac:dyDescent="0.25">
      <c r="A227" s="26"/>
      <c r="B227" s="26"/>
    </row>
    <row r="228" spans="1:2" ht="15.75" customHeight="1" x14ac:dyDescent="0.25">
      <c r="A228" s="26"/>
      <c r="B228" s="26"/>
    </row>
    <row r="229" spans="1:2" ht="15.75" customHeight="1" x14ac:dyDescent="0.25">
      <c r="A229" s="26"/>
      <c r="B229" s="26"/>
    </row>
    <row r="230" spans="1:2" ht="15.75" customHeight="1" x14ac:dyDescent="0.25">
      <c r="A230" s="26"/>
      <c r="B230" s="26"/>
    </row>
    <row r="231" spans="1:2" ht="15.75" customHeight="1" x14ac:dyDescent="0.25">
      <c r="A231" s="26"/>
      <c r="B231" s="26"/>
    </row>
    <row r="232" spans="1:2" ht="15.75" customHeight="1" x14ac:dyDescent="0.25">
      <c r="A232" s="26"/>
      <c r="B232" s="26"/>
    </row>
    <row r="233" spans="1:2" ht="15.75" customHeight="1" x14ac:dyDescent="0.25">
      <c r="A233" s="26"/>
      <c r="B233" s="26"/>
    </row>
    <row r="234" spans="1:2" ht="15.75" customHeight="1" x14ac:dyDescent="0.25">
      <c r="A234" s="26"/>
      <c r="B234" s="26"/>
    </row>
    <row r="235" spans="1:2" ht="15.75" customHeight="1" x14ac:dyDescent="0.25">
      <c r="A235" s="26"/>
      <c r="B235" s="26"/>
    </row>
    <row r="236" spans="1:2" ht="15.75" customHeight="1" x14ac:dyDescent="0.25">
      <c r="A236" s="26"/>
      <c r="B236" s="26"/>
    </row>
    <row r="237" spans="1:2" ht="15.75" customHeight="1" x14ac:dyDescent="0.25">
      <c r="A237" s="26"/>
      <c r="B237" s="26"/>
    </row>
    <row r="238" spans="1:2" ht="15.75" customHeight="1" x14ac:dyDescent="0.25">
      <c r="A238" s="26"/>
      <c r="B238" s="26"/>
    </row>
    <row r="239" spans="1:2" ht="15.75" customHeight="1" x14ac:dyDescent="0.25">
      <c r="A239" s="26"/>
      <c r="B239" s="26"/>
    </row>
    <row r="240" spans="1:2" ht="15.75" customHeight="1" x14ac:dyDescent="0.25">
      <c r="A240" s="26"/>
      <c r="B240" s="26"/>
    </row>
    <row r="241" spans="1:2" ht="15.75" customHeight="1" x14ac:dyDescent="0.25">
      <c r="A241" s="26"/>
      <c r="B241" s="26"/>
    </row>
    <row r="242" spans="1:2" ht="15.75" customHeight="1" x14ac:dyDescent="0.25">
      <c r="A242" s="26"/>
      <c r="B242" s="26"/>
    </row>
    <row r="243" spans="1:2" ht="15.75" customHeight="1" x14ac:dyDescent="0.25">
      <c r="A243" s="26"/>
      <c r="B243" s="26"/>
    </row>
    <row r="244" spans="1:2" ht="15.75" customHeight="1" x14ac:dyDescent="0.25">
      <c r="A244" s="26"/>
      <c r="B244" s="26"/>
    </row>
    <row r="245" spans="1:2" ht="15.75" customHeight="1" x14ac:dyDescent="0.25">
      <c r="A245" s="26"/>
      <c r="B245" s="26"/>
    </row>
    <row r="246" spans="1:2" ht="15.75" customHeight="1" x14ac:dyDescent="0.25">
      <c r="A246" s="26"/>
      <c r="B246" s="26"/>
    </row>
    <row r="247" spans="1:2" ht="15.75" customHeight="1" x14ac:dyDescent="0.25">
      <c r="A247" s="26"/>
      <c r="B247" s="26"/>
    </row>
    <row r="248" spans="1:2" ht="15.75" customHeight="1" x14ac:dyDescent="0.25">
      <c r="A248" s="26"/>
      <c r="B248" s="26"/>
    </row>
    <row r="249" spans="1:2" ht="15.75" customHeight="1" x14ac:dyDescent="0.25">
      <c r="A249" s="26"/>
      <c r="B249" s="26"/>
    </row>
    <row r="250" spans="1:2" ht="15.75" customHeight="1" x14ac:dyDescent="0.25">
      <c r="A250" s="26"/>
      <c r="B250" s="26"/>
    </row>
    <row r="251" spans="1:2" ht="15.75" customHeight="1" x14ac:dyDescent="0.25">
      <c r="A251" s="26"/>
      <c r="B251" s="26"/>
    </row>
    <row r="252" spans="1:2" ht="15.75" customHeight="1" x14ac:dyDescent="0.25">
      <c r="A252" s="26"/>
      <c r="B252" s="26"/>
    </row>
    <row r="253" spans="1:2" ht="15.75" customHeight="1" x14ac:dyDescent="0.25">
      <c r="A253" s="26"/>
      <c r="B253" s="26"/>
    </row>
    <row r="254" spans="1:2" ht="15.75" customHeight="1" x14ac:dyDescent="0.25">
      <c r="A254" s="26"/>
      <c r="B254" s="26"/>
    </row>
    <row r="255" spans="1:2" ht="15.75" customHeight="1" x14ac:dyDescent="0.25">
      <c r="A255" s="26"/>
      <c r="B255" s="26"/>
    </row>
    <row r="256" spans="1:2" ht="15.75" customHeight="1" x14ac:dyDescent="0.25">
      <c r="A256" s="26"/>
      <c r="B256" s="26"/>
    </row>
    <row r="257" spans="1:2" ht="15.75" customHeight="1" x14ac:dyDescent="0.25">
      <c r="A257" s="26"/>
      <c r="B257" s="26"/>
    </row>
    <row r="258" spans="1:2" ht="15.75" customHeight="1" x14ac:dyDescent="0.25">
      <c r="A258" s="26"/>
      <c r="B258" s="26"/>
    </row>
    <row r="259" spans="1:2" ht="15.75" customHeight="1" x14ac:dyDescent="0.25">
      <c r="A259" s="26"/>
      <c r="B259" s="26"/>
    </row>
    <row r="260" spans="1:2" ht="15.75" customHeight="1" x14ac:dyDescent="0.25">
      <c r="A260" s="26"/>
      <c r="B260" s="26"/>
    </row>
    <row r="261" spans="1:2" ht="15.75" customHeight="1" x14ac:dyDescent="0.25">
      <c r="A261" s="26"/>
      <c r="B261" s="26"/>
    </row>
    <row r="262" spans="1:2" ht="15.75" customHeight="1" x14ac:dyDescent="0.25">
      <c r="A262" s="26"/>
      <c r="B262" s="26"/>
    </row>
    <row r="263" spans="1:2" ht="15.75" customHeight="1" x14ac:dyDescent="0.25">
      <c r="A263" s="26"/>
      <c r="B263" s="26"/>
    </row>
    <row r="264" spans="1:2" ht="15.75" customHeight="1" x14ac:dyDescent="0.25">
      <c r="A264" s="26"/>
      <c r="B264" s="26"/>
    </row>
    <row r="265" spans="1:2" ht="15.75" customHeight="1" x14ac:dyDescent="0.25">
      <c r="A265" s="26"/>
      <c r="B265" s="26"/>
    </row>
    <row r="266" spans="1:2" ht="15.75" customHeight="1" x14ac:dyDescent="0.25">
      <c r="A266" s="26"/>
      <c r="B266" s="26"/>
    </row>
    <row r="267" spans="1:2" ht="15.75" customHeight="1" x14ac:dyDescent="0.25">
      <c r="A267" s="26"/>
      <c r="B267" s="26"/>
    </row>
    <row r="268" spans="1:2" ht="15.75" customHeight="1" x14ac:dyDescent="0.25">
      <c r="A268" s="26"/>
      <c r="B268" s="26"/>
    </row>
    <row r="269" spans="1:2" ht="15.75" customHeight="1" x14ac:dyDescent="0.25">
      <c r="A269" s="26"/>
      <c r="B269" s="26"/>
    </row>
    <row r="270" spans="1:2" ht="15.75" customHeight="1" x14ac:dyDescent="0.25">
      <c r="A270" s="26"/>
      <c r="B270" s="26"/>
    </row>
    <row r="271" spans="1:2" ht="15.75" customHeight="1" x14ac:dyDescent="0.25">
      <c r="A271" s="26"/>
      <c r="B271" s="26"/>
    </row>
    <row r="272" spans="1:2" ht="15.75" customHeight="1" x14ac:dyDescent="0.25">
      <c r="A272" s="26"/>
      <c r="B272" s="26"/>
    </row>
    <row r="273" spans="1:2" ht="15.75" customHeight="1" x14ac:dyDescent="0.25">
      <c r="A273" s="26"/>
      <c r="B273" s="26"/>
    </row>
    <row r="274" spans="1:2" ht="15.75" customHeight="1" x14ac:dyDescent="0.25">
      <c r="A274" s="26"/>
      <c r="B274" s="26"/>
    </row>
    <row r="275" spans="1:2" ht="15.75" customHeight="1" x14ac:dyDescent="0.25">
      <c r="A275" s="26"/>
      <c r="B275" s="26"/>
    </row>
    <row r="276" spans="1:2" ht="15.75" customHeight="1" x14ac:dyDescent="0.25">
      <c r="A276" s="26"/>
      <c r="B276" s="26"/>
    </row>
    <row r="277" spans="1:2" ht="15.75" customHeight="1" x14ac:dyDescent="0.25">
      <c r="A277" s="26"/>
      <c r="B277" s="26"/>
    </row>
    <row r="278" spans="1:2" ht="15.75" customHeight="1" x14ac:dyDescent="0.25">
      <c r="A278" s="26"/>
      <c r="B278" s="26"/>
    </row>
    <row r="279" spans="1:2" ht="15.75" customHeight="1" x14ac:dyDescent="0.25">
      <c r="A279" s="26"/>
      <c r="B279" s="26"/>
    </row>
    <row r="280" spans="1:2" ht="15.75" customHeight="1" x14ac:dyDescent="0.25">
      <c r="A280" s="26"/>
      <c r="B280" s="26"/>
    </row>
    <row r="281" spans="1:2" ht="15.75" customHeight="1" x14ac:dyDescent="0.25">
      <c r="A281" s="26"/>
      <c r="B281" s="26"/>
    </row>
    <row r="282" spans="1:2" ht="15.75" customHeight="1" x14ac:dyDescent="0.25">
      <c r="A282" s="26"/>
      <c r="B282" s="26"/>
    </row>
    <row r="283" spans="1:2" ht="15.75" customHeight="1" x14ac:dyDescent="0.25">
      <c r="A283" s="26"/>
      <c r="B283" s="26"/>
    </row>
    <row r="284" spans="1:2" ht="15.75" customHeight="1" x14ac:dyDescent="0.25">
      <c r="A284" s="26"/>
      <c r="B284" s="26"/>
    </row>
    <row r="285" spans="1:2" ht="15.75" customHeight="1" x14ac:dyDescent="0.25">
      <c r="A285" s="26"/>
      <c r="B285" s="26"/>
    </row>
    <row r="286" spans="1:2" ht="15.75" customHeight="1" x14ac:dyDescent="0.25">
      <c r="A286" s="26"/>
      <c r="B286" s="26"/>
    </row>
    <row r="287" spans="1:2" ht="15.75" customHeight="1" x14ac:dyDescent="0.25">
      <c r="A287" s="26"/>
      <c r="B287" s="26"/>
    </row>
    <row r="288" spans="1:2" ht="15.75" customHeight="1" x14ac:dyDescent="0.25">
      <c r="A288" s="26"/>
      <c r="B288" s="26"/>
    </row>
    <row r="289" spans="1:2" ht="15.75" customHeight="1" x14ac:dyDescent="0.25">
      <c r="A289" s="26"/>
      <c r="B289" s="26"/>
    </row>
    <row r="290" spans="1:2" ht="15.75" customHeight="1" x14ac:dyDescent="0.25">
      <c r="A290" s="26"/>
      <c r="B290" s="26"/>
    </row>
    <row r="291" spans="1:2" ht="15.75" customHeight="1" x14ac:dyDescent="0.25">
      <c r="A291" s="26"/>
      <c r="B291" s="26"/>
    </row>
    <row r="292" spans="1:2" ht="15.75" customHeight="1" x14ac:dyDescent="0.25">
      <c r="A292" s="26"/>
      <c r="B292" s="26"/>
    </row>
    <row r="293" spans="1:2" ht="15.75" customHeight="1" x14ac:dyDescent="0.25">
      <c r="A293" s="26"/>
      <c r="B293" s="26"/>
    </row>
    <row r="294" spans="1:2" ht="15.75" customHeight="1" x14ac:dyDescent="0.25">
      <c r="A294" s="26"/>
      <c r="B294" s="26"/>
    </row>
    <row r="295" spans="1:2" ht="15.75" customHeight="1" x14ac:dyDescent="0.25">
      <c r="A295" s="26"/>
      <c r="B295" s="26"/>
    </row>
    <row r="296" spans="1:2" ht="15.75" customHeight="1" x14ac:dyDescent="0.25">
      <c r="A296" s="26"/>
      <c r="B296" s="26"/>
    </row>
    <row r="297" spans="1:2" ht="15.75" customHeight="1" x14ac:dyDescent="0.25">
      <c r="A297" s="26"/>
      <c r="B297" s="26"/>
    </row>
    <row r="298" spans="1:2" ht="15.75" customHeight="1" x14ac:dyDescent="0.25">
      <c r="A298" s="26"/>
      <c r="B298" s="26"/>
    </row>
    <row r="299" spans="1:2" ht="15.75" customHeight="1" x14ac:dyDescent="0.25">
      <c r="A299" s="26"/>
      <c r="B299" s="26"/>
    </row>
    <row r="300" spans="1:2" ht="15.75" customHeight="1" x14ac:dyDescent="0.25">
      <c r="A300" s="26"/>
      <c r="B300" s="26"/>
    </row>
    <row r="301" spans="1:2" ht="15.75" customHeight="1" x14ac:dyDescent="0.25">
      <c r="A301" s="26"/>
      <c r="B301" s="26"/>
    </row>
    <row r="302" spans="1:2" ht="15.75" customHeight="1" x14ac:dyDescent="0.25">
      <c r="A302" s="26"/>
      <c r="B302" s="26"/>
    </row>
    <row r="303" spans="1:2" ht="15.75" customHeight="1" x14ac:dyDescent="0.25">
      <c r="A303" s="26"/>
      <c r="B303" s="26"/>
    </row>
    <row r="304" spans="1:2" ht="15.75" customHeight="1" x14ac:dyDescent="0.25">
      <c r="A304" s="26"/>
      <c r="B304" s="26"/>
    </row>
    <row r="305" spans="1:2" ht="15.75" customHeight="1" x14ac:dyDescent="0.25">
      <c r="A305" s="26"/>
      <c r="B305" s="26"/>
    </row>
    <row r="306" spans="1:2" ht="15.75" customHeight="1" x14ac:dyDescent="0.25">
      <c r="A306" s="26"/>
      <c r="B306" s="26"/>
    </row>
    <row r="307" spans="1:2" ht="15.75" customHeight="1" x14ac:dyDescent="0.25">
      <c r="A307" s="26"/>
      <c r="B307" s="26"/>
    </row>
    <row r="308" spans="1:2" ht="15.75" customHeight="1" x14ac:dyDescent="0.25">
      <c r="A308" s="26"/>
      <c r="B308" s="26"/>
    </row>
    <row r="309" spans="1:2" ht="15.75" customHeight="1" x14ac:dyDescent="0.25">
      <c r="A309" s="26"/>
      <c r="B309" s="26"/>
    </row>
    <row r="310" spans="1:2" ht="15.75" customHeight="1" x14ac:dyDescent="0.25">
      <c r="A310" s="26"/>
      <c r="B310" s="26"/>
    </row>
    <row r="311" spans="1:2" ht="15.75" customHeight="1" x14ac:dyDescent="0.25">
      <c r="A311" s="26"/>
      <c r="B311" s="26"/>
    </row>
    <row r="312" spans="1:2" ht="15.75" customHeight="1" x14ac:dyDescent="0.25">
      <c r="A312" s="26"/>
      <c r="B312" s="26"/>
    </row>
    <row r="313" spans="1:2" ht="15.75" customHeight="1" x14ac:dyDescent="0.25">
      <c r="A313" s="26"/>
      <c r="B313" s="26"/>
    </row>
    <row r="314" spans="1:2" ht="15.75" customHeight="1" x14ac:dyDescent="0.25">
      <c r="A314" s="26"/>
      <c r="B314" s="26"/>
    </row>
    <row r="315" spans="1:2" ht="15.75" customHeight="1" x14ac:dyDescent="0.25">
      <c r="A315" s="26"/>
      <c r="B315" s="26"/>
    </row>
    <row r="316" spans="1:2" ht="15.75" customHeight="1" x14ac:dyDescent="0.25">
      <c r="A316" s="26"/>
      <c r="B316" s="26"/>
    </row>
    <row r="317" spans="1:2" ht="15.75" customHeight="1" x14ac:dyDescent="0.25">
      <c r="A317" s="26"/>
      <c r="B317" s="26"/>
    </row>
    <row r="318" spans="1:2" ht="15.75" customHeight="1" x14ac:dyDescent="0.25">
      <c r="A318" s="26"/>
      <c r="B318" s="26"/>
    </row>
    <row r="319" spans="1:2" ht="15.75" customHeight="1" x14ac:dyDescent="0.25">
      <c r="A319" s="26"/>
      <c r="B319" s="26"/>
    </row>
    <row r="320" spans="1:2" ht="15.75" customHeight="1" x14ac:dyDescent="0.25">
      <c r="A320" s="26"/>
      <c r="B320" s="26"/>
    </row>
    <row r="321" spans="1:2" ht="15.75" customHeight="1" x14ac:dyDescent="0.25">
      <c r="A321" s="26"/>
      <c r="B321" s="26"/>
    </row>
    <row r="322" spans="1:2" ht="15.75" customHeight="1" x14ac:dyDescent="0.25">
      <c r="A322" s="26"/>
      <c r="B322" s="26"/>
    </row>
    <row r="323" spans="1:2" ht="15.75" customHeight="1" x14ac:dyDescent="0.25">
      <c r="A323" s="26"/>
      <c r="B323" s="26"/>
    </row>
    <row r="324" spans="1:2" ht="15.75" customHeight="1" x14ac:dyDescent="0.25">
      <c r="A324" s="26"/>
      <c r="B324" s="26"/>
    </row>
    <row r="325" spans="1:2" ht="15.75" customHeight="1" x14ac:dyDescent="0.25">
      <c r="A325" s="26"/>
      <c r="B325" s="26"/>
    </row>
    <row r="326" spans="1:2" ht="15.75" customHeight="1" x14ac:dyDescent="0.25">
      <c r="A326" s="26"/>
      <c r="B326" s="26"/>
    </row>
    <row r="327" spans="1:2" ht="15.75" customHeight="1" x14ac:dyDescent="0.25">
      <c r="A327" s="26"/>
      <c r="B327" s="26"/>
    </row>
    <row r="328" spans="1:2" ht="15.75" customHeight="1" x14ac:dyDescent="0.25">
      <c r="A328" s="26"/>
      <c r="B328" s="26"/>
    </row>
    <row r="329" spans="1:2" ht="15.75" customHeight="1" x14ac:dyDescent="0.25">
      <c r="A329" s="26"/>
      <c r="B329" s="26"/>
    </row>
    <row r="330" spans="1:2" ht="15.75" customHeight="1" x14ac:dyDescent="0.25">
      <c r="A330" s="26"/>
      <c r="B330" s="26"/>
    </row>
    <row r="331" spans="1:2" ht="15.75" customHeight="1" x14ac:dyDescent="0.25">
      <c r="A331" s="26"/>
      <c r="B331" s="26"/>
    </row>
    <row r="332" spans="1:2" ht="15.75" customHeight="1" x14ac:dyDescent="0.25">
      <c r="A332" s="26"/>
      <c r="B332" s="26"/>
    </row>
    <row r="333" spans="1:2" ht="15.75" customHeight="1" x14ac:dyDescent="0.25">
      <c r="A333" s="26"/>
      <c r="B333" s="26"/>
    </row>
    <row r="334" spans="1:2" ht="15.75" customHeight="1" x14ac:dyDescent="0.25">
      <c r="A334" s="26"/>
      <c r="B334" s="26"/>
    </row>
    <row r="335" spans="1:2" ht="15.75" customHeight="1" x14ac:dyDescent="0.25">
      <c r="A335" s="26"/>
      <c r="B335" s="26"/>
    </row>
    <row r="336" spans="1:2" ht="15.75" customHeight="1" x14ac:dyDescent="0.25">
      <c r="A336" s="26"/>
      <c r="B336" s="26"/>
    </row>
    <row r="337" spans="1:2" ht="15.75" customHeight="1" x14ac:dyDescent="0.25">
      <c r="A337" s="26"/>
      <c r="B337" s="26"/>
    </row>
    <row r="338" spans="1:2" ht="15.75" customHeight="1" x14ac:dyDescent="0.25">
      <c r="A338" s="26"/>
      <c r="B338" s="26"/>
    </row>
    <row r="339" spans="1:2" ht="15.75" customHeight="1" x14ac:dyDescent="0.25">
      <c r="A339" s="26"/>
      <c r="B339" s="26"/>
    </row>
    <row r="340" spans="1:2" ht="15.75" customHeight="1" x14ac:dyDescent="0.25">
      <c r="A340" s="26"/>
      <c r="B340" s="26"/>
    </row>
    <row r="341" spans="1:2" ht="15.75" customHeight="1" x14ac:dyDescent="0.25">
      <c r="A341" s="26"/>
      <c r="B341" s="26"/>
    </row>
    <row r="342" spans="1:2" ht="15.75" customHeight="1" x14ac:dyDescent="0.25">
      <c r="A342" s="26"/>
      <c r="B342" s="26"/>
    </row>
    <row r="343" spans="1:2" ht="15.75" customHeight="1" x14ac:dyDescent="0.25">
      <c r="A343" s="26"/>
      <c r="B343" s="26"/>
    </row>
    <row r="344" spans="1:2" ht="15.75" customHeight="1" x14ac:dyDescent="0.25">
      <c r="A344" s="26"/>
      <c r="B344" s="26"/>
    </row>
    <row r="345" spans="1:2" ht="15.75" customHeight="1" x14ac:dyDescent="0.25">
      <c r="A345" s="26"/>
      <c r="B345" s="26"/>
    </row>
    <row r="346" spans="1:2" ht="15.75" customHeight="1" x14ac:dyDescent="0.25">
      <c r="A346" s="26"/>
      <c r="B346" s="26"/>
    </row>
    <row r="347" spans="1:2" ht="15.75" customHeight="1" x14ac:dyDescent="0.25">
      <c r="A347" s="26"/>
      <c r="B347" s="26"/>
    </row>
    <row r="348" spans="1:2" ht="15.75" customHeight="1" x14ac:dyDescent="0.25">
      <c r="A348" s="26"/>
      <c r="B348" s="26"/>
    </row>
    <row r="349" spans="1:2" ht="15.75" customHeight="1" x14ac:dyDescent="0.25">
      <c r="A349" s="26"/>
      <c r="B349" s="26"/>
    </row>
    <row r="350" spans="1:2" ht="15.75" customHeight="1" x14ac:dyDescent="0.25">
      <c r="A350" s="26"/>
      <c r="B350" s="26"/>
    </row>
    <row r="351" spans="1:2" ht="15.75" customHeight="1" x14ac:dyDescent="0.25">
      <c r="A351" s="26"/>
      <c r="B351" s="26"/>
    </row>
    <row r="352" spans="1:2" ht="15.75" customHeight="1" x14ac:dyDescent="0.25">
      <c r="A352" s="26"/>
      <c r="B352" s="26"/>
    </row>
    <row r="353" spans="1:2" ht="15.75" customHeight="1" x14ac:dyDescent="0.25">
      <c r="A353" s="26"/>
      <c r="B353" s="26"/>
    </row>
    <row r="354" spans="1:2" ht="15.75" customHeight="1" x14ac:dyDescent="0.25">
      <c r="A354" s="26"/>
      <c r="B354" s="26"/>
    </row>
    <row r="355" spans="1:2" ht="15.75" customHeight="1" x14ac:dyDescent="0.25">
      <c r="A355" s="26"/>
      <c r="B355" s="26"/>
    </row>
    <row r="356" spans="1:2" ht="15.75" customHeight="1" x14ac:dyDescent="0.25">
      <c r="A356" s="26"/>
      <c r="B356" s="26"/>
    </row>
    <row r="357" spans="1:2" ht="15.75" customHeight="1" x14ac:dyDescent="0.25">
      <c r="A357" s="26"/>
      <c r="B357" s="26"/>
    </row>
    <row r="358" spans="1:2" ht="15.75" customHeight="1" x14ac:dyDescent="0.25">
      <c r="A358" s="26"/>
      <c r="B358" s="26"/>
    </row>
    <row r="359" spans="1:2" ht="15.75" customHeight="1" x14ac:dyDescent="0.25">
      <c r="A359" s="26"/>
      <c r="B359" s="26"/>
    </row>
    <row r="360" spans="1:2" ht="15.75" customHeight="1" x14ac:dyDescent="0.25">
      <c r="A360" s="26"/>
      <c r="B360" s="26"/>
    </row>
    <row r="361" spans="1:2" ht="15.75" customHeight="1" x14ac:dyDescent="0.25">
      <c r="A361" s="26"/>
      <c r="B361" s="26"/>
    </row>
    <row r="362" spans="1:2" ht="15.75" customHeight="1" x14ac:dyDescent="0.25">
      <c r="A362" s="26"/>
      <c r="B362" s="26"/>
    </row>
    <row r="363" spans="1:2" ht="15.75" customHeight="1" x14ac:dyDescent="0.25">
      <c r="A363" s="26"/>
      <c r="B363" s="26"/>
    </row>
    <row r="364" spans="1:2" ht="15.75" customHeight="1" x14ac:dyDescent="0.25">
      <c r="A364" s="26"/>
      <c r="B364" s="26"/>
    </row>
    <row r="365" spans="1:2" ht="15.75" customHeight="1" x14ac:dyDescent="0.25">
      <c r="A365" s="26"/>
      <c r="B365" s="26"/>
    </row>
    <row r="366" spans="1:2" ht="15.75" customHeight="1" x14ac:dyDescent="0.25">
      <c r="A366" s="26"/>
      <c r="B366" s="26"/>
    </row>
    <row r="367" spans="1:2" ht="15.75" customHeight="1" x14ac:dyDescent="0.25">
      <c r="A367" s="26"/>
      <c r="B367" s="26"/>
    </row>
    <row r="368" spans="1:2" ht="15.75" customHeight="1" x14ac:dyDescent="0.25">
      <c r="A368" s="26"/>
      <c r="B368" s="26"/>
    </row>
    <row r="369" spans="1:2" ht="15.75" customHeight="1" x14ac:dyDescent="0.25">
      <c r="A369" s="26"/>
      <c r="B369" s="26"/>
    </row>
    <row r="370" spans="1:2" ht="15.75" customHeight="1" x14ac:dyDescent="0.25">
      <c r="A370" s="26"/>
      <c r="B370" s="26"/>
    </row>
    <row r="371" spans="1:2" ht="15.75" customHeight="1" x14ac:dyDescent="0.25">
      <c r="A371" s="26"/>
      <c r="B371" s="26"/>
    </row>
    <row r="372" spans="1:2" ht="15.75" customHeight="1" x14ac:dyDescent="0.25">
      <c r="A372" s="26"/>
      <c r="B372" s="26"/>
    </row>
    <row r="373" spans="1:2" ht="15.75" customHeight="1" x14ac:dyDescent="0.25">
      <c r="A373" s="26"/>
      <c r="B373" s="26"/>
    </row>
    <row r="374" spans="1:2" ht="15.75" customHeight="1" x14ac:dyDescent="0.25">
      <c r="A374" s="26"/>
      <c r="B374" s="26"/>
    </row>
    <row r="375" spans="1:2" ht="15.75" customHeight="1" x14ac:dyDescent="0.25">
      <c r="A375" s="26"/>
      <c r="B375" s="26"/>
    </row>
    <row r="376" spans="1:2" ht="15.75" customHeight="1" x14ac:dyDescent="0.25">
      <c r="A376" s="26"/>
      <c r="B376" s="26"/>
    </row>
    <row r="377" spans="1:2" ht="15.75" customHeight="1" x14ac:dyDescent="0.25">
      <c r="A377" s="26"/>
      <c r="B377" s="26"/>
    </row>
    <row r="378" spans="1:2" ht="15.75" customHeight="1" x14ac:dyDescent="0.25">
      <c r="A378" s="26"/>
      <c r="B378" s="26"/>
    </row>
    <row r="379" spans="1:2" ht="15.75" customHeight="1" x14ac:dyDescent="0.25">
      <c r="A379" s="26"/>
      <c r="B379" s="26"/>
    </row>
    <row r="380" spans="1:2" ht="15.75" customHeight="1" x14ac:dyDescent="0.25">
      <c r="A380" s="26"/>
      <c r="B380" s="26"/>
    </row>
    <row r="381" spans="1:2" ht="15.75" customHeight="1" x14ac:dyDescent="0.25">
      <c r="A381" s="26"/>
      <c r="B381" s="26"/>
    </row>
    <row r="382" spans="1:2" ht="15.75" customHeight="1" x14ac:dyDescent="0.25">
      <c r="A382" s="26"/>
      <c r="B382" s="26"/>
    </row>
    <row r="383" spans="1:2" ht="15.75" customHeight="1" x14ac:dyDescent="0.25">
      <c r="A383" s="26"/>
      <c r="B383" s="26"/>
    </row>
    <row r="384" spans="1:2" ht="15.75" customHeight="1" x14ac:dyDescent="0.25">
      <c r="A384" s="26"/>
      <c r="B384" s="26"/>
    </row>
    <row r="385" spans="1:2" ht="15.75" customHeight="1" x14ac:dyDescent="0.25">
      <c r="A385" s="26"/>
      <c r="B385" s="26"/>
    </row>
    <row r="386" spans="1:2" ht="15.75" customHeight="1" x14ac:dyDescent="0.25">
      <c r="A386" s="26"/>
      <c r="B386" s="26"/>
    </row>
    <row r="387" spans="1:2" ht="15.75" customHeight="1" x14ac:dyDescent="0.25">
      <c r="A387" s="26"/>
      <c r="B387" s="26"/>
    </row>
    <row r="388" spans="1:2" ht="15.75" customHeight="1" x14ac:dyDescent="0.25">
      <c r="A388" s="26"/>
      <c r="B388" s="26"/>
    </row>
    <row r="389" spans="1:2" ht="15.75" customHeight="1" x14ac:dyDescent="0.25">
      <c r="A389" s="26"/>
      <c r="B389" s="26"/>
    </row>
    <row r="390" spans="1:2" ht="15.75" customHeight="1" x14ac:dyDescent="0.25">
      <c r="A390" s="26"/>
      <c r="B390" s="26"/>
    </row>
    <row r="391" spans="1:2" ht="15.75" customHeight="1" x14ac:dyDescent="0.25">
      <c r="A391" s="26"/>
      <c r="B391" s="26"/>
    </row>
    <row r="392" spans="1:2" ht="15.75" customHeight="1" x14ac:dyDescent="0.25">
      <c r="A392" s="26"/>
      <c r="B392" s="26"/>
    </row>
    <row r="393" spans="1:2" ht="15.75" customHeight="1" x14ac:dyDescent="0.25">
      <c r="A393" s="26"/>
      <c r="B393" s="26"/>
    </row>
    <row r="394" spans="1:2" ht="15.75" customHeight="1" x14ac:dyDescent="0.25">
      <c r="A394" s="26"/>
      <c r="B394" s="26"/>
    </row>
    <row r="395" spans="1:2" ht="15.75" customHeight="1" x14ac:dyDescent="0.25">
      <c r="A395" s="26"/>
      <c r="B395" s="26"/>
    </row>
    <row r="396" spans="1:2" ht="15.75" customHeight="1" x14ac:dyDescent="0.25">
      <c r="A396" s="26"/>
      <c r="B396" s="26"/>
    </row>
    <row r="397" spans="1:2" ht="15.75" customHeight="1" x14ac:dyDescent="0.25">
      <c r="A397" s="26"/>
      <c r="B397" s="26"/>
    </row>
    <row r="398" spans="1:2" ht="15.75" customHeight="1" x14ac:dyDescent="0.25">
      <c r="A398" s="26"/>
      <c r="B398" s="26"/>
    </row>
    <row r="399" spans="1:2" ht="15.75" customHeight="1" x14ac:dyDescent="0.25">
      <c r="A399" s="26"/>
      <c r="B399" s="26"/>
    </row>
    <row r="400" spans="1:2" ht="15.75" customHeight="1" x14ac:dyDescent="0.25">
      <c r="A400" s="26"/>
      <c r="B400" s="26"/>
    </row>
    <row r="401" spans="1:2" ht="15.75" customHeight="1" x14ac:dyDescent="0.25">
      <c r="A401" s="26"/>
      <c r="B401" s="26"/>
    </row>
    <row r="402" spans="1:2" ht="15.75" customHeight="1" x14ac:dyDescent="0.25">
      <c r="A402" s="26"/>
      <c r="B402" s="26"/>
    </row>
    <row r="403" spans="1:2" ht="15.75" customHeight="1" x14ac:dyDescent="0.25">
      <c r="A403" s="26"/>
      <c r="B403" s="26"/>
    </row>
    <row r="404" spans="1:2" ht="15.75" customHeight="1" x14ac:dyDescent="0.25">
      <c r="A404" s="26"/>
      <c r="B404" s="26"/>
    </row>
    <row r="405" spans="1:2" ht="15.75" customHeight="1" x14ac:dyDescent="0.25">
      <c r="A405" s="26"/>
      <c r="B405" s="26"/>
    </row>
    <row r="406" spans="1:2" ht="15.75" customHeight="1" x14ac:dyDescent="0.25">
      <c r="A406" s="26"/>
      <c r="B406" s="26"/>
    </row>
    <row r="407" spans="1:2" ht="15.75" customHeight="1" x14ac:dyDescent="0.25">
      <c r="A407" s="26"/>
      <c r="B407" s="26"/>
    </row>
    <row r="408" spans="1:2" ht="15.75" customHeight="1" x14ac:dyDescent="0.25">
      <c r="A408" s="26"/>
      <c r="B408" s="26"/>
    </row>
    <row r="409" spans="1:2" ht="15.75" customHeight="1" x14ac:dyDescent="0.25">
      <c r="A409" s="26"/>
      <c r="B409" s="26"/>
    </row>
    <row r="410" spans="1:2" ht="15.75" customHeight="1" x14ac:dyDescent="0.25">
      <c r="A410" s="26"/>
      <c r="B410" s="26"/>
    </row>
    <row r="411" spans="1:2" ht="15.75" customHeight="1" x14ac:dyDescent="0.25">
      <c r="A411" s="26"/>
      <c r="B411" s="26"/>
    </row>
    <row r="412" spans="1:2" ht="15.75" customHeight="1" x14ac:dyDescent="0.25">
      <c r="A412" s="26"/>
      <c r="B412" s="26"/>
    </row>
    <row r="413" spans="1:2" ht="15.75" customHeight="1" x14ac:dyDescent="0.25">
      <c r="A413" s="26"/>
      <c r="B413" s="26"/>
    </row>
    <row r="414" spans="1:2" ht="15.75" customHeight="1" x14ac:dyDescent="0.25">
      <c r="A414" s="26"/>
      <c r="B414" s="26"/>
    </row>
    <row r="415" spans="1:2" ht="15.75" customHeight="1" x14ac:dyDescent="0.25">
      <c r="A415" s="26"/>
      <c r="B415" s="26"/>
    </row>
    <row r="416" spans="1:2" ht="15.75" customHeight="1" x14ac:dyDescent="0.25">
      <c r="A416" s="26"/>
      <c r="B416" s="26"/>
    </row>
    <row r="417" spans="1:2" ht="15.75" customHeight="1" x14ac:dyDescent="0.25">
      <c r="A417" s="26"/>
      <c r="B417" s="26"/>
    </row>
    <row r="418" spans="1:2" ht="15.75" customHeight="1" x14ac:dyDescent="0.25">
      <c r="A418" s="26"/>
      <c r="B418" s="26"/>
    </row>
    <row r="419" spans="1:2" ht="15.75" customHeight="1" x14ac:dyDescent="0.25">
      <c r="A419" s="26"/>
      <c r="B419" s="26"/>
    </row>
    <row r="420" spans="1:2" ht="15.75" customHeight="1" x14ac:dyDescent="0.25">
      <c r="A420" s="26"/>
      <c r="B420" s="26"/>
    </row>
    <row r="421" spans="1:2" ht="15.75" customHeight="1" x14ac:dyDescent="0.25">
      <c r="A421" s="26"/>
      <c r="B421" s="26"/>
    </row>
    <row r="422" spans="1:2" ht="15.75" customHeight="1" x14ac:dyDescent="0.25">
      <c r="A422" s="26"/>
      <c r="B422" s="26"/>
    </row>
    <row r="423" spans="1:2" ht="15.75" customHeight="1" x14ac:dyDescent="0.25">
      <c r="A423" s="26"/>
      <c r="B423" s="26"/>
    </row>
    <row r="424" spans="1:2" ht="15.75" customHeight="1" x14ac:dyDescent="0.25">
      <c r="A424" s="26"/>
      <c r="B424" s="26"/>
    </row>
    <row r="425" spans="1:2" ht="15.75" customHeight="1" x14ac:dyDescent="0.25">
      <c r="A425" s="26"/>
      <c r="B425" s="26"/>
    </row>
    <row r="426" spans="1:2" ht="15.75" customHeight="1" x14ac:dyDescent="0.25">
      <c r="A426" s="26"/>
      <c r="B426" s="26"/>
    </row>
    <row r="427" spans="1:2" ht="15.75" customHeight="1" x14ac:dyDescent="0.25">
      <c r="A427" s="26"/>
      <c r="B427" s="26"/>
    </row>
    <row r="428" spans="1:2" ht="15.75" customHeight="1" x14ac:dyDescent="0.25">
      <c r="A428" s="26"/>
      <c r="B428" s="26"/>
    </row>
    <row r="429" spans="1:2" ht="15.75" customHeight="1" x14ac:dyDescent="0.25">
      <c r="A429" s="26"/>
      <c r="B429" s="26"/>
    </row>
    <row r="430" spans="1:2" ht="15.75" customHeight="1" x14ac:dyDescent="0.25">
      <c r="A430" s="26"/>
      <c r="B430" s="26"/>
    </row>
    <row r="431" spans="1:2" ht="15.75" customHeight="1" x14ac:dyDescent="0.25">
      <c r="A431" s="26"/>
      <c r="B431" s="26"/>
    </row>
    <row r="432" spans="1:2" ht="15.75" customHeight="1" x14ac:dyDescent="0.25">
      <c r="A432" s="26"/>
      <c r="B432" s="26"/>
    </row>
    <row r="433" spans="1:2" ht="15.75" customHeight="1" x14ac:dyDescent="0.25">
      <c r="A433" s="26"/>
      <c r="B433" s="26"/>
    </row>
    <row r="434" spans="1:2" ht="15.75" customHeight="1" x14ac:dyDescent="0.25">
      <c r="A434" s="26"/>
      <c r="B434" s="26"/>
    </row>
    <row r="435" spans="1:2" ht="15.75" customHeight="1" x14ac:dyDescent="0.25">
      <c r="A435" s="26"/>
      <c r="B435" s="26"/>
    </row>
    <row r="436" spans="1:2" ht="15.75" customHeight="1" x14ac:dyDescent="0.25">
      <c r="A436" s="26"/>
      <c r="B436" s="26"/>
    </row>
    <row r="437" spans="1:2" ht="15.75" customHeight="1" x14ac:dyDescent="0.25">
      <c r="A437" s="26"/>
      <c r="B437" s="26"/>
    </row>
    <row r="438" spans="1:2" ht="15.75" customHeight="1" x14ac:dyDescent="0.25">
      <c r="A438" s="26"/>
      <c r="B438" s="26"/>
    </row>
    <row r="439" spans="1:2" ht="15.75" customHeight="1" x14ac:dyDescent="0.25">
      <c r="A439" s="26"/>
      <c r="B439" s="26"/>
    </row>
    <row r="440" spans="1:2" ht="15.75" customHeight="1" x14ac:dyDescent="0.25">
      <c r="A440" s="26"/>
      <c r="B440" s="26"/>
    </row>
    <row r="441" spans="1:2" ht="15.75" customHeight="1" x14ac:dyDescent="0.25">
      <c r="A441" s="26"/>
      <c r="B441" s="26"/>
    </row>
    <row r="442" spans="1:2" ht="15.75" customHeight="1" x14ac:dyDescent="0.25">
      <c r="A442" s="26"/>
      <c r="B442" s="26"/>
    </row>
    <row r="443" spans="1:2" ht="15.75" customHeight="1" x14ac:dyDescent="0.25">
      <c r="A443" s="26"/>
      <c r="B443" s="26"/>
    </row>
    <row r="444" spans="1:2" ht="15.75" customHeight="1" x14ac:dyDescent="0.25">
      <c r="A444" s="26"/>
      <c r="B444" s="26"/>
    </row>
    <row r="445" spans="1:2" ht="15.75" customHeight="1" x14ac:dyDescent="0.25">
      <c r="A445" s="26"/>
      <c r="B445" s="26"/>
    </row>
    <row r="446" spans="1:2" ht="15.75" customHeight="1" x14ac:dyDescent="0.25">
      <c r="A446" s="26"/>
      <c r="B446" s="26"/>
    </row>
    <row r="447" spans="1:2" ht="15.75" customHeight="1" x14ac:dyDescent="0.25">
      <c r="A447" s="26"/>
      <c r="B447" s="26"/>
    </row>
    <row r="448" spans="1:2" ht="15.75" customHeight="1" x14ac:dyDescent="0.25">
      <c r="A448" s="26"/>
      <c r="B448" s="26"/>
    </row>
    <row r="449" spans="1:2" ht="15.75" customHeight="1" x14ac:dyDescent="0.25">
      <c r="A449" s="26"/>
      <c r="B449" s="26"/>
    </row>
    <row r="450" spans="1:2" ht="15.75" customHeight="1" x14ac:dyDescent="0.25">
      <c r="A450" s="26"/>
      <c r="B450" s="26"/>
    </row>
    <row r="451" spans="1:2" ht="15.75" customHeight="1" x14ac:dyDescent="0.25">
      <c r="A451" s="26"/>
      <c r="B451" s="26"/>
    </row>
    <row r="452" spans="1:2" ht="15.75" customHeight="1" x14ac:dyDescent="0.25">
      <c r="A452" s="26"/>
      <c r="B452" s="26"/>
    </row>
    <row r="453" spans="1:2" ht="15.75" customHeight="1" x14ac:dyDescent="0.25">
      <c r="A453" s="26"/>
      <c r="B453" s="26"/>
    </row>
    <row r="454" spans="1:2" ht="15.75" customHeight="1" x14ac:dyDescent="0.25">
      <c r="A454" s="26"/>
      <c r="B454" s="26"/>
    </row>
    <row r="455" spans="1:2" ht="15.75" customHeight="1" x14ac:dyDescent="0.25">
      <c r="A455" s="26"/>
      <c r="B455" s="26"/>
    </row>
    <row r="456" spans="1:2" ht="15.75" customHeight="1" x14ac:dyDescent="0.25">
      <c r="A456" s="26"/>
      <c r="B456" s="26"/>
    </row>
    <row r="457" spans="1:2" ht="15.75" customHeight="1" x14ac:dyDescent="0.25">
      <c r="A457" s="26"/>
      <c r="B457" s="26"/>
    </row>
    <row r="458" spans="1:2" ht="15.75" customHeight="1" x14ac:dyDescent="0.25">
      <c r="A458" s="26"/>
      <c r="B458" s="26"/>
    </row>
    <row r="459" spans="1:2" ht="15.75" customHeight="1" x14ac:dyDescent="0.25">
      <c r="A459" s="26"/>
      <c r="B459" s="26"/>
    </row>
    <row r="460" spans="1:2" ht="15.75" customHeight="1" x14ac:dyDescent="0.25">
      <c r="A460" s="26"/>
      <c r="B460" s="26"/>
    </row>
    <row r="461" spans="1:2" ht="15.75" customHeight="1" x14ac:dyDescent="0.25">
      <c r="A461" s="26"/>
      <c r="B461" s="26"/>
    </row>
    <row r="462" spans="1:2" ht="15.75" customHeight="1" x14ac:dyDescent="0.25">
      <c r="A462" s="26"/>
      <c r="B462" s="26"/>
    </row>
    <row r="463" spans="1:2" ht="15.75" customHeight="1" x14ac:dyDescent="0.25">
      <c r="A463" s="26"/>
      <c r="B463" s="26"/>
    </row>
    <row r="464" spans="1:2" ht="15.75" customHeight="1" x14ac:dyDescent="0.25">
      <c r="A464" s="26"/>
      <c r="B464" s="26"/>
    </row>
    <row r="465" spans="1:2" ht="15.75" customHeight="1" x14ac:dyDescent="0.25">
      <c r="A465" s="26"/>
      <c r="B465" s="26"/>
    </row>
    <row r="466" spans="1:2" ht="15.75" customHeight="1" x14ac:dyDescent="0.25">
      <c r="A466" s="26"/>
      <c r="B466" s="26"/>
    </row>
    <row r="467" spans="1:2" ht="15.75" customHeight="1" x14ac:dyDescent="0.25">
      <c r="A467" s="26"/>
      <c r="B467" s="26"/>
    </row>
    <row r="468" spans="1:2" ht="15.75" customHeight="1" x14ac:dyDescent="0.25">
      <c r="A468" s="26"/>
      <c r="B468" s="26"/>
    </row>
    <row r="469" spans="1:2" ht="15.75" customHeight="1" x14ac:dyDescent="0.25">
      <c r="A469" s="26"/>
      <c r="B469" s="26"/>
    </row>
    <row r="470" spans="1:2" ht="15.75" customHeight="1" x14ac:dyDescent="0.25">
      <c r="A470" s="26"/>
      <c r="B470" s="26"/>
    </row>
    <row r="471" spans="1:2" ht="15.75" customHeight="1" x14ac:dyDescent="0.25">
      <c r="A471" s="26"/>
      <c r="B471" s="26"/>
    </row>
    <row r="472" spans="1:2" ht="15.75" customHeight="1" x14ac:dyDescent="0.25">
      <c r="A472" s="26"/>
      <c r="B472" s="26"/>
    </row>
    <row r="473" spans="1:2" ht="15.75" customHeight="1" x14ac:dyDescent="0.25">
      <c r="A473" s="26"/>
      <c r="B473" s="26"/>
    </row>
    <row r="474" spans="1:2" ht="15.75" customHeight="1" x14ac:dyDescent="0.25">
      <c r="A474" s="26"/>
      <c r="B474" s="26"/>
    </row>
    <row r="475" spans="1:2" ht="15.75" customHeight="1" x14ac:dyDescent="0.25">
      <c r="A475" s="26"/>
      <c r="B475" s="26"/>
    </row>
    <row r="476" spans="1:2" ht="15.75" customHeight="1" x14ac:dyDescent="0.25">
      <c r="A476" s="26"/>
      <c r="B476" s="26"/>
    </row>
    <row r="477" spans="1:2" ht="15.75" customHeight="1" x14ac:dyDescent="0.25">
      <c r="A477" s="26"/>
      <c r="B477" s="26"/>
    </row>
    <row r="478" spans="1:2" ht="15.75" customHeight="1" x14ac:dyDescent="0.25">
      <c r="A478" s="26"/>
      <c r="B478" s="26"/>
    </row>
    <row r="479" spans="1:2" ht="15.75" customHeight="1" x14ac:dyDescent="0.25">
      <c r="A479" s="26"/>
      <c r="B479" s="26"/>
    </row>
    <row r="480" spans="1:2" ht="15.75" customHeight="1" x14ac:dyDescent="0.25">
      <c r="A480" s="26"/>
      <c r="B480" s="26"/>
    </row>
    <row r="481" spans="1:2" ht="15.75" customHeight="1" x14ac:dyDescent="0.25">
      <c r="A481" s="26"/>
      <c r="B481" s="26"/>
    </row>
    <row r="482" spans="1:2" ht="15.75" customHeight="1" x14ac:dyDescent="0.25">
      <c r="A482" s="26"/>
      <c r="B482" s="26"/>
    </row>
    <row r="483" spans="1:2" ht="15.75" customHeight="1" x14ac:dyDescent="0.25">
      <c r="A483" s="26"/>
      <c r="B483" s="26"/>
    </row>
    <row r="484" spans="1:2" ht="15.75" customHeight="1" x14ac:dyDescent="0.25">
      <c r="A484" s="26"/>
      <c r="B484" s="26"/>
    </row>
    <row r="485" spans="1:2" ht="15.75" customHeight="1" x14ac:dyDescent="0.25">
      <c r="A485" s="26"/>
      <c r="B485" s="26"/>
    </row>
    <row r="486" spans="1:2" ht="15.75" customHeight="1" x14ac:dyDescent="0.25">
      <c r="A486" s="26"/>
      <c r="B486" s="26"/>
    </row>
    <row r="487" spans="1:2" ht="15.75" customHeight="1" x14ac:dyDescent="0.25">
      <c r="A487" s="26"/>
      <c r="B487" s="26"/>
    </row>
    <row r="488" spans="1:2" ht="15.75" customHeight="1" x14ac:dyDescent="0.25">
      <c r="A488" s="26"/>
      <c r="B488" s="26"/>
    </row>
    <row r="489" spans="1:2" ht="15.75" customHeight="1" x14ac:dyDescent="0.25">
      <c r="A489" s="26"/>
      <c r="B489" s="26"/>
    </row>
    <row r="490" spans="1:2" ht="15.75" customHeight="1" x14ac:dyDescent="0.25">
      <c r="A490" s="26"/>
      <c r="B490" s="26"/>
    </row>
    <row r="491" spans="1:2" ht="15.75" customHeight="1" x14ac:dyDescent="0.25">
      <c r="A491" s="26"/>
      <c r="B491" s="26"/>
    </row>
    <row r="492" spans="1:2" ht="15.75" customHeight="1" x14ac:dyDescent="0.25">
      <c r="A492" s="26"/>
      <c r="B492" s="26"/>
    </row>
    <row r="493" spans="1:2" ht="15.75" customHeight="1" x14ac:dyDescent="0.25">
      <c r="A493" s="26"/>
      <c r="B493" s="26"/>
    </row>
    <row r="494" spans="1:2" ht="15.75" customHeight="1" x14ac:dyDescent="0.25">
      <c r="A494" s="26"/>
      <c r="B494" s="26"/>
    </row>
    <row r="495" spans="1:2" ht="15.75" customHeight="1" x14ac:dyDescent="0.25">
      <c r="A495" s="26"/>
      <c r="B495" s="26"/>
    </row>
    <row r="496" spans="1:2" ht="15.75" customHeight="1" x14ac:dyDescent="0.25">
      <c r="A496" s="26"/>
      <c r="B496" s="26"/>
    </row>
    <row r="497" spans="1:2" ht="15.75" customHeight="1" x14ac:dyDescent="0.25">
      <c r="A497" s="26"/>
      <c r="B497" s="26"/>
    </row>
    <row r="498" spans="1:2" ht="15.75" customHeight="1" x14ac:dyDescent="0.25">
      <c r="A498" s="26"/>
      <c r="B498" s="26"/>
    </row>
    <row r="499" spans="1:2" ht="15.75" customHeight="1" x14ac:dyDescent="0.25">
      <c r="A499" s="26"/>
      <c r="B499" s="26"/>
    </row>
    <row r="500" spans="1:2" ht="15.75" customHeight="1" x14ac:dyDescent="0.25">
      <c r="A500" s="26"/>
      <c r="B500" s="26"/>
    </row>
    <row r="501" spans="1:2" ht="15.75" customHeight="1" x14ac:dyDescent="0.25">
      <c r="A501" s="26"/>
      <c r="B501" s="26"/>
    </row>
    <row r="502" spans="1:2" ht="15.75" customHeight="1" x14ac:dyDescent="0.25">
      <c r="A502" s="26"/>
      <c r="B502" s="26"/>
    </row>
    <row r="503" spans="1:2" ht="15.75" customHeight="1" x14ac:dyDescent="0.25">
      <c r="A503" s="26"/>
      <c r="B503" s="26"/>
    </row>
    <row r="504" spans="1:2" ht="15.75" customHeight="1" x14ac:dyDescent="0.25">
      <c r="A504" s="26"/>
      <c r="B504" s="26"/>
    </row>
    <row r="505" spans="1:2" ht="15.75" customHeight="1" x14ac:dyDescent="0.25">
      <c r="A505" s="26"/>
      <c r="B505" s="26"/>
    </row>
    <row r="506" spans="1:2" ht="15.75" customHeight="1" x14ac:dyDescent="0.25">
      <c r="A506" s="26"/>
      <c r="B506" s="26"/>
    </row>
    <row r="507" spans="1:2" ht="15.75" customHeight="1" x14ac:dyDescent="0.25">
      <c r="A507" s="26"/>
      <c r="B507" s="26"/>
    </row>
    <row r="508" spans="1:2" ht="15.75" customHeight="1" x14ac:dyDescent="0.25">
      <c r="A508" s="26"/>
      <c r="B508" s="26"/>
    </row>
    <row r="509" spans="1:2" ht="15.75" customHeight="1" x14ac:dyDescent="0.25">
      <c r="A509" s="26"/>
      <c r="B509" s="26"/>
    </row>
    <row r="510" spans="1:2" ht="15.75" customHeight="1" x14ac:dyDescent="0.25">
      <c r="A510" s="26"/>
      <c r="B510" s="26"/>
    </row>
    <row r="511" spans="1:2" ht="15.75" customHeight="1" x14ac:dyDescent="0.25">
      <c r="A511" s="26"/>
      <c r="B511" s="26"/>
    </row>
    <row r="512" spans="1:2" ht="15.75" customHeight="1" x14ac:dyDescent="0.25">
      <c r="A512" s="26"/>
      <c r="B512" s="26"/>
    </row>
    <row r="513" spans="1:2" ht="15.75" customHeight="1" x14ac:dyDescent="0.25">
      <c r="A513" s="26"/>
      <c r="B513" s="26"/>
    </row>
    <row r="514" spans="1:2" ht="15.75" customHeight="1" x14ac:dyDescent="0.25">
      <c r="A514" s="26"/>
      <c r="B514" s="26"/>
    </row>
    <row r="515" spans="1:2" ht="15.75" customHeight="1" x14ac:dyDescent="0.25">
      <c r="A515" s="26"/>
      <c r="B515" s="26"/>
    </row>
    <row r="516" spans="1:2" ht="15.75" customHeight="1" x14ac:dyDescent="0.25">
      <c r="A516" s="26"/>
      <c r="B516" s="26"/>
    </row>
    <row r="517" spans="1:2" ht="15.75" customHeight="1" x14ac:dyDescent="0.25">
      <c r="A517" s="26"/>
      <c r="B517" s="26"/>
    </row>
    <row r="518" spans="1:2" ht="15.75" customHeight="1" x14ac:dyDescent="0.25">
      <c r="A518" s="26"/>
      <c r="B518" s="26"/>
    </row>
    <row r="519" spans="1:2" ht="15.75" customHeight="1" x14ac:dyDescent="0.25">
      <c r="A519" s="26"/>
      <c r="B519" s="26"/>
    </row>
    <row r="520" spans="1:2" ht="15.75" customHeight="1" x14ac:dyDescent="0.25">
      <c r="A520" s="26"/>
      <c r="B520" s="26"/>
    </row>
    <row r="521" spans="1:2" ht="15.75" customHeight="1" x14ac:dyDescent="0.25">
      <c r="A521" s="26"/>
      <c r="B521" s="26"/>
    </row>
    <row r="522" spans="1:2" ht="15.75" customHeight="1" x14ac:dyDescent="0.25">
      <c r="A522" s="26"/>
      <c r="B522" s="26"/>
    </row>
    <row r="523" spans="1:2" ht="15.75" customHeight="1" x14ac:dyDescent="0.25">
      <c r="A523" s="26"/>
      <c r="B523" s="26"/>
    </row>
    <row r="524" spans="1:2" ht="15.75" customHeight="1" x14ac:dyDescent="0.25">
      <c r="A524" s="26"/>
      <c r="B524" s="26"/>
    </row>
    <row r="525" spans="1:2" ht="15.75" customHeight="1" x14ac:dyDescent="0.25">
      <c r="A525" s="26"/>
      <c r="B525" s="26"/>
    </row>
    <row r="526" spans="1:2" ht="15.75" customHeight="1" x14ac:dyDescent="0.25">
      <c r="A526" s="26"/>
      <c r="B526" s="26"/>
    </row>
    <row r="527" spans="1:2" ht="15.75" customHeight="1" x14ac:dyDescent="0.25">
      <c r="A527" s="26"/>
      <c r="B527" s="26"/>
    </row>
    <row r="528" spans="1:2" ht="15.75" customHeight="1" x14ac:dyDescent="0.25">
      <c r="A528" s="26"/>
      <c r="B528" s="26"/>
    </row>
    <row r="529" spans="1:2" ht="15.75" customHeight="1" x14ac:dyDescent="0.25">
      <c r="A529" s="26"/>
      <c r="B529" s="26"/>
    </row>
    <row r="530" spans="1:2" ht="15.75" customHeight="1" x14ac:dyDescent="0.25">
      <c r="A530" s="26"/>
      <c r="B530" s="26"/>
    </row>
    <row r="531" spans="1:2" ht="15.75" customHeight="1" x14ac:dyDescent="0.25">
      <c r="A531" s="26"/>
      <c r="B531" s="26"/>
    </row>
    <row r="532" spans="1:2" ht="15.75" customHeight="1" x14ac:dyDescent="0.25">
      <c r="A532" s="26"/>
      <c r="B532" s="26"/>
    </row>
    <row r="533" spans="1:2" ht="15.75" customHeight="1" x14ac:dyDescent="0.25">
      <c r="A533" s="26"/>
      <c r="B533" s="26"/>
    </row>
    <row r="534" spans="1:2" ht="15.75" customHeight="1" x14ac:dyDescent="0.25">
      <c r="A534" s="26"/>
      <c r="B534" s="26"/>
    </row>
    <row r="535" spans="1:2" ht="15.75" customHeight="1" x14ac:dyDescent="0.25">
      <c r="A535" s="26"/>
      <c r="B535" s="26"/>
    </row>
    <row r="536" spans="1:2" ht="15.75" customHeight="1" x14ac:dyDescent="0.25">
      <c r="A536" s="26"/>
      <c r="B536" s="26"/>
    </row>
    <row r="537" spans="1:2" ht="15.75" customHeight="1" x14ac:dyDescent="0.25">
      <c r="A537" s="26"/>
      <c r="B537" s="26"/>
    </row>
    <row r="538" spans="1:2" ht="15.75" customHeight="1" x14ac:dyDescent="0.25">
      <c r="A538" s="26"/>
      <c r="B538" s="26"/>
    </row>
    <row r="539" spans="1:2" ht="15.75" customHeight="1" x14ac:dyDescent="0.25">
      <c r="A539" s="26"/>
      <c r="B539" s="26"/>
    </row>
    <row r="540" spans="1:2" ht="15.75" customHeight="1" x14ac:dyDescent="0.25">
      <c r="A540" s="26"/>
      <c r="B540" s="26"/>
    </row>
    <row r="541" spans="1:2" ht="15.75" customHeight="1" x14ac:dyDescent="0.25">
      <c r="A541" s="26"/>
      <c r="B541" s="26"/>
    </row>
    <row r="542" spans="1:2" ht="15.75" customHeight="1" x14ac:dyDescent="0.25">
      <c r="A542" s="26"/>
      <c r="B542" s="26"/>
    </row>
    <row r="543" spans="1:2" ht="15.75" customHeight="1" x14ac:dyDescent="0.25">
      <c r="A543" s="26"/>
      <c r="B543" s="26"/>
    </row>
    <row r="544" spans="1:2" ht="15.75" customHeight="1" x14ac:dyDescent="0.25">
      <c r="A544" s="26"/>
      <c r="B544" s="26"/>
    </row>
    <row r="545" spans="1:2" ht="15.75" customHeight="1" x14ac:dyDescent="0.25">
      <c r="A545" s="26"/>
      <c r="B545" s="26"/>
    </row>
    <row r="546" spans="1:2" ht="15.75" customHeight="1" x14ac:dyDescent="0.25">
      <c r="A546" s="26"/>
      <c r="B546" s="26"/>
    </row>
    <row r="547" spans="1:2" ht="15.75" customHeight="1" x14ac:dyDescent="0.25">
      <c r="A547" s="26"/>
      <c r="B547" s="26"/>
    </row>
    <row r="548" spans="1:2" ht="15.75" customHeight="1" x14ac:dyDescent="0.25">
      <c r="A548" s="26"/>
      <c r="B548" s="26"/>
    </row>
    <row r="549" spans="1:2" ht="15.75" customHeight="1" x14ac:dyDescent="0.25">
      <c r="A549" s="26"/>
      <c r="B549" s="26"/>
    </row>
    <row r="550" spans="1:2" ht="15.75" customHeight="1" x14ac:dyDescent="0.25">
      <c r="A550" s="26"/>
      <c r="B550" s="26"/>
    </row>
    <row r="551" spans="1:2" ht="15.75" customHeight="1" x14ac:dyDescent="0.25">
      <c r="A551" s="26"/>
      <c r="B551" s="26"/>
    </row>
    <row r="552" spans="1:2" ht="15.75" customHeight="1" x14ac:dyDescent="0.25">
      <c r="A552" s="26"/>
      <c r="B552" s="26"/>
    </row>
    <row r="553" spans="1:2" ht="15.75" customHeight="1" x14ac:dyDescent="0.25">
      <c r="A553" s="26"/>
      <c r="B553" s="26"/>
    </row>
    <row r="554" spans="1:2" ht="15.75" customHeight="1" x14ac:dyDescent="0.25">
      <c r="A554" s="26"/>
      <c r="B554" s="26"/>
    </row>
    <row r="555" spans="1:2" ht="15.75" customHeight="1" x14ac:dyDescent="0.25">
      <c r="A555" s="26"/>
      <c r="B555" s="26"/>
    </row>
    <row r="556" spans="1:2" ht="15.75" customHeight="1" x14ac:dyDescent="0.25">
      <c r="A556" s="26"/>
      <c r="B556" s="26"/>
    </row>
    <row r="557" spans="1:2" ht="15.75" customHeight="1" x14ac:dyDescent="0.25">
      <c r="A557" s="26"/>
      <c r="B557" s="26"/>
    </row>
    <row r="558" spans="1:2" ht="15.75" customHeight="1" x14ac:dyDescent="0.25">
      <c r="A558" s="26"/>
      <c r="B558" s="26"/>
    </row>
    <row r="559" spans="1:2" ht="15.75" customHeight="1" x14ac:dyDescent="0.25">
      <c r="A559" s="26"/>
      <c r="B559" s="26"/>
    </row>
    <row r="560" spans="1:2" ht="15.75" customHeight="1" x14ac:dyDescent="0.25">
      <c r="A560" s="26"/>
      <c r="B560" s="26"/>
    </row>
    <row r="561" spans="1:2" ht="15.75" customHeight="1" x14ac:dyDescent="0.25">
      <c r="A561" s="26"/>
      <c r="B561" s="26"/>
    </row>
    <row r="562" spans="1:2" ht="15.75" customHeight="1" x14ac:dyDescent="0.25">
      <c r="A562" s="26"/>
      <c r="B562" s="26"/>
    </row>
    <row r="563" spans="1:2" ht="15.75" customHeight="1" x14ac:dyDescent="0.25">
      <c r="A563" s="26"/>
      <c r="B563" s="26"/>
    </row>
    <row r="564" spans="1:2" ht="15.75" customHeight="1" x14ac:dyDescent="0.25">
      <c r="A564" s="26"/>
      <c r="B564" s="26"/>
    </row>
    <row r="565" spans="1:2" ht="15.75" customHeight="1" x14ac:dyDescent="0.25">
      <c r="A565" s="26"/>
      <c r="B565" s="26"/>
    </row>
    <row r="566" spans="1:2" ht="15.75" customHeight="1" x14ac:dyDescent="0.25">
      <c r="A566" s="26"/>
      <c r="B566" s="26"/>
    </row>
    <row r="567" spans="1:2" ht="15.75" customHeight="1" x14ac:dyDescent="0.25">
      <c r="A567" s="26"/>
      <c r="B567" s="26"/>
    </row>
    <row r="568" spans="1:2" ht="15.75" customHeight="1" x14ac:dyDescent="0.25">
      <c r="A568" s="26"/>
      <c r="B568" s="26"/>
    </row>
    <row r="569" spans="1:2" ht="15.75" customHeight="1" x14ac:dyDescent="0.25">
      <c r="A569" s="26"/>
      <c r="B569" s="26"/>
    </row>
    <row r="570" spans="1:2" ht="15.75" customHeight="1" x14ac:dyDescent="0.25">
      <c r="A570" s="26"/>
      <c r="B570" s="26"/>
    </row>
    <row r="571" spans="1:2" ht="15.75" customHeight="1" x14ac:dyDescent="0.25">
      <c r="A571" s="26"/>
      <c r="B571" s="26"/>
    </row>
    <row r="572" spans="1:2" ht="15.75" customHeight="1" x14ac:dyDescent="0.25">
      <c r="A572" s="26"/>
      <c r="B572" s="26"/>
    </row>
    <row r="573" spans="1:2" ht="15.75" customHeight="1" x14ac:dyDescent="0.25">
      <c r="A573" s="26"/>
      <c r="B573" s="26"/>
    </row>
    <row r="574" spans="1:2" ht="15.75" customHeight="1" x14ac:dyDescent="0.25">
      <c r="A574" s="26"/>
      <c r="B574" s="26"/>
    </row>
    <row r="575" spans="1:2" ht="15.75" customHeight="1" x14ac:dyDescent="0.25">
      <c r="A575" s="26"/>
      <c r="B575" s="26"/>
    </row>
    <row r="576" spans="1:2" ht="15.75" customHeight="1" x14ac:dyDescent="0.25">
      <c r="A576" s="26"/>
      <c r="B576" s="26"/>
    </row>
    <row r="577" spans="1:2" ht="15.75" customHeight="1" x14ac:dyDescent="0.25">
      <c r="A577" s="26"/>
      <c r="B577" s="26"/>
    </row>
    <row r="578" spans="1:2" ht="15.75" customHeight="1" x14ac:dyDescent="0.25">
      <c r="A578" s="26"/>
      <c r="B578" s="26"/>
    </row>
    <row r="579" spans="1:2" ht="15.75" customHeight="1" x14ac:dyDescent="0.25">
      <c r="A579" s="26"/>
      <c r="B579" s="26"/>
    </row>
    <row r="580" spans="1:2" ht="15.75" customHeight="1" x14ac:dyDescent="0.25">
      <c r="A580" s="26"/>
      <c r="B580" s="26"/>
    </row>
    <row r="581" spans="1:2" ht="15.75" customHeight="1" x14ac:dyDescent="0.25">
      <c r="A581" s="26"/>
      <c r="B581" s="26"/>
    </row>
    <row r="582" spans="1:2" ht="15.75" customHeight="1" x14ac:dyDescent="0.25">
      <c r="A582" s="26"/>
      <c r="B582" s="26"/>
    </row>
    <row r="583" spans="1:2" ht="15.75" customHeight="1" x14ac:dyDescent="0.25">
      <c r="A583" s="26"/>
      <c r="B583" s="26"/>
    </row>
    <row r="584" spans="1:2" ht="15.75" customHeight="1" x14ac:dyDescent="0.25">
      <c r="A584" s="26"/>
      <c r="B584" s="26"/>
    </row>
    <row r="585" spans="1:2" ht="15.75" customHeight="1" x14ac:dyDescent="0.25">
      <c r="A585" s="26"/>
      <c r="B585" s="26"/>
    </row>
    <row r="586" spans="1:2" ht="15.75" customHeight="1" x14ac:dyDescent="0.25">
      <c r="A586" s="26"/>
      <c r="B586" s="26"/>
    </row>
    <row r="587" spans="1:2" ht="15.75" customHeight="1" x14ac:dyDescent="0.25">
      <c r="A587" s="26"/>
      <c r="B587" s="26"/>
    </row>
    <row r="588" spans="1:2" ht="15.75" customHeight="1" x14ac:dyDescent="0.25">
      <c r="A588" s="26"/>
      <c r="B588" s="26"/>
    </row>
    <row r="589" spans="1:2" ht="15.75" customHeight="1" x14ac:dyDescent="0.25">
      <c r="A589" s="26"/>
      <c r="B589" s="26"/>
    </row>
    <row r="590" spans="1:2" ht="15.75" customHeight="1" x14ac:dyDescent="0.25">
      <c r="A590" s="26"/>
      <c r="B590" s="26"/>
    </row>
    <row r="591" spans="1:2" ht="15.75" customHeight="1" x14ac:dyDescent="0.25">
      <c r="A591" s="26"/>
      <c r="B591" s="26"/>
    </row>
    <row r="592" spans="1:2" ht="15.75" customHeight="1" x14ac:dyDescent="0.25">
      <c r="A592" s="26"/>
      <c r="B592" s="26"/>
    </row>
    <row r="593" spans="1:2" ht="15.75" customHeight="1" x14ac:dyDescent="0.25">
      <c r="A593" s="26"/>
      <c r="B593" s="26"/>
    </row>
    <row r="594" spans="1:2" ht="15.75" customHeight="1" x14ac:dyDescent="0.25">
      <c r="A594" s="26"/>
      <c r="B594" s="26"/>
    </row>
    <row r="595" spans="1:2" ht="15.75" customHeight="1" x14ac:dyDescent="0.25">
      <c r="A595" s="26"/>
      <c r="B595" s="26"/>
    </row>
    <row r="596" spans="1:2" ht="15.75" customHeight="1" x14ac:dyDescent="0.25">
      <c r="A596" s="26"/>
      <c r="B596" s="26"/>
    </row>
    <row r="597" spans="1:2" ht="15.75" customHeight="1" x14ac:dyDescent="0.25">
      <c r="A597" s="26"/>
      <c r="B597" s="26"/>
    </row>
    <row r="598" spans="1:2" ht="15.75" customHeight="1" x14ac:dyDescent="0.25">
      <c r="A598" s="26"/>
      <c r="B598" s="26"/>
    </row>
    <row r="599" spans="1:2" ht="15.75" customHeight="1" x14ac:dyDescent="0.25">
      <c r="A599" s="26"/>
      <c r="B599" s="26"/>
    </row>
    <row r="600" spans="1:2" ht="15.75" customHeight="1" x14ac:dyDescent="0.25">
      <c r="A600" s="26"/>
      <c r="B600" s="26"/>
    </row>
    <row r="601" spans="1:2" ht="15.75" customHeight="1" x14ac:dyDescent="0.25">
      <c r="A601" s="26"/>
      <c r="B601" s="26"/>
    </row>
    <row r="602" spans="1:2" ht="15.75" customHeight="1" x14ac:dyDescent="0.25">
      <c r="A602" s="26"/>
      <c r="B602" s="26"/>
    </row>
    <row r="603" spans="1:2" ht="15.75" customHeight="1" x14ac:dyDescent="0.25">
      <c r="A603" s="26"/>
      <c r="B603" s="26"/>
    </row>
    <row r="604" spans="1:2" ht="15.75" customHeight="1" x14ac:dyDescent="0.25">
      <c r="A604" s="26"/>
      <c r="B604" s="26"/>
    </row>
    <row r="605" spans="1:2" ht="15.75" customHeight="1" x14ac:dyDescent="0.25">
      <c r="A605" s="26"/>
      <c r="B605" s="26"/>
    </row>
    <row r="606" spans="1:2" ht="15.75" customHeight="1" x14ac:dyDescent="0.25">
      <c r="A606" s="26"/>
      <c r="B606" s="26"/>
    </row>
    <row r="607" spans="1:2" ht="15.75" customHeight="1" x14ac:dyDescent="0.25">
      <c r="A607" s="26"/>
      <c r="B607" s="26"/>
    </row>
    <row r="608" spans="1:2" ht="15.75" customHeight="1" x14ac:dyDescent="0.25">
      <c r="A608" s="26"/>
      <c r="B608" s="26"/>
    </row>
    <row r="609" spans="1:2" ht="15.75" customHeight="1" x14ac:dyDescent="0.25">
      <c r="A609" s="26"/>
      <c r="B609" s="26"/>
    </row>
    <row r="610" spans="1:2" ht="15.75" customHeight="1" x14ac:dyDescent="0.25">
      <c r="A610" s="26"/>
      <c r="B610" s="26"/>
    </row>
    <row r="611" spans="1:2" ht="15.75" customHeight="1" x14ac:dyDescent="0.25">
      <c r="A611" s="26"/>
      <c r="B611" s="26"/>
    </row>
    <row r="612" spans="1:2" ht="15.75" customHeight="1" x14ac:dyDescent="0.25">
      <c r="A612" s="26"/>
      <c r="B612" s="26"/>
    </row>
    <row r="613" spans="1:2" ht="15.75" customHeight="1" x14ac:dyDescent="0.25">
      <c r="A613" s="26"/>
      <c r="B613" s="26"/>
    </row>
    <row r="614" spans="1:2" ht="15.75" customHeight="1" x14ac:dyDescent="0.25">
      <c r="A614" s="26"/>
      <c r="B614" s="26"/>
    </row>
    <row r="615" spans="1:2" ht="15.75" customHeight="1" x14ac:dyDescent="0.25">
      <c r="A615" s="26"/>
      <c r="B615" s="26"/>
    </row>
    <row r="616" spans="1:2" ht="15.75" customHeight="1" x14ac:dyDescent="0.25">
      <c r="A616" s="26"/>
      <c r="B616" s="26"/>
    </row>
    <row r="617" spans="1:2" ht="15.75" customHeight="1" x14ac:dyDescent="0.25">
      <c r="A617" s="26"/>
      <c r="B617" s="26"/>
    </row>
    <row r="618" spans="1:2" ht="15.75" customHeight="1" x14ac:dyDescent="0.25">
      <c r="A618" s="26"/>
      <c r="B618" s="26"/>
    </row>
    <row r="619" spans="1:2" ht="15.75" customHeight="1" x14ac:dyDescent="0.25">
      <c r="A619" s="26"/>
      <c r="B619" s="26"/>
    </row>
    <row r="620" spans="1:2" ht="15.75" customHeight="1" x14ac:dyDescent="0.25">
      <c r="A620" s="26"/>
      <c r="B620" s="26"/>
    </row>
    <row r="621" spans="1:2" ht="15.75" customHeight="1" x14ac:dyDescent="0.25">
      <c r="A621" s="26"/>
      <c r="B621" s="26"/>
    </row>
    <row r="622" spans="1:2" ht="15.75" customHeight="1" x14ac:dyDescent="0.25">
      <c r="A622" s="26"/>
      <c r="B622" s="26"/>
    </row>
    <row r="623" spans="1:2" ht="15.75" customHeight="1" x14ac:dyDescent="0.25">
      <c r="A623" s="26"/>
      <c r="B623" s="26"/>
    </row>
    <row r="624" spans="1:2" ht="15.75" customHeight="1" x14ac:dyDescent="0.25">
      <c r="A624" s="26"/>
      <c r="B624" s="26"/>
    </row>
    <row r="625" spans="1:2" ht="15.75" customHeight="1" x14ac:dyDescent="0.25">
      <c r="A625" s="26"/>
      <c r="B625" s="26"/>
    </row>
    <row r="626" spans="1:2" ht="15.75" customHeight="1" x14ac:dyDescent="0.25">
      <c r="A626" s="26"/>
      <c r="B626" s="26"/>
    </row>
    <row r="627" spans="1:2" ht="15.75" customHeight="1" x14ac:dyDescent="0.25">
      <c r="A627" s="26"/>
      <c r="B627" s="26"/>
    </row>
    <row r="628" spans="1:2" ht="15.75" customHeight="1" x14ac:dyDescent="0.25">
      <c r="A628" s="26"/>
      <c r="B628" s="26"/>
    </row>
    <row r="629" spans="1:2" ht="15.75" customHeight="1" x14ac:dyDescent="0.25">
      <c r="A629" s="26"/>
      <c r="B629" s="26"/>
    </row>
    <row r="630" spans="1:2" ht="15.75" customHeight="1" x14ac:dyDescent="0.25">
      <c r="A630" s="26"/>
      <c r="B630" s="26"/>
    </row>
    <row r="631" spans="1:2" ht="15.75" customHeight="1" x14ac:dyDescent="0.25">
      <c r="A631" s="26"/>
      <c r="B631" s="26"/>
    </row>
    <row r="632" spans="1:2" ht="15.75" customHeight="1" x14ac:dyDescent="0.25">
      <c r="A632" s="26"/>
      <c r="B632" s="26"/>
    </row>
    <row r="633" spans="1:2" ht="15.75" customHeight="1" x14ac:dyDescent="0.25">
      <c r="A633" s="26"/>
      <c r="B633" s="26"/>
    </row>
    <row r="634" spans="1:2" ht="15.75" customHeight="1" x14ac:dyDescent="0.25">
      <c r="A634" s="26"/>
      <c r="B634" s="26"/>
    </row>
    <row r="635" spans="1:2" ht="15.75" customHeight="1" x14ac:dyDescent="0.25">
      <c r="A635" s="26"/>
      <c r="B635" s="26"/>
    </row>
    <row r="636" spans="1:2" ht="15.75" customHeight="1" x14ac:dyDescent="0.25">
      <c r="A636" s="26"/>
      <c r="B636" s="26"/>
    </row>
    <row r="637" spans="1:2" ht="15.75" customHeight="1" x14ac:dyDescent="0.25">
      <c r="A637" s="26"/>
      <c r="B637" s="26"/>
    </row>
    <row r="638" spans="1:2" ht="15.75" customHeight="1" x14ac:dyDescent="0.25">
      <c r="A638" s="26"/>
      <c r="B638" s="26"/>
    </row>
    <row r="639" spans="1:2" ht="15.75" customHeight="1" x14ac:dyDescent="0.25">
      <c r="A639" s="26"/>
      <c r="B639" s="26"/>
    </row>
    <row r="640" spans="1:2" ht="15.75" customHeight="1" x14ac:dyDescent="0.25">
      <c r="A640" s="26"/>
      <c r="B640" s="26"/>
    </row>
    <row r="641" spans="1:2" ht="15.75" customHeight="1" x14ac:dyDescent="0.25">
      <c r="A641" s="26"/>
      <c r="B641" s="26"/>
    </row>
    <row r="642" spans="1:2" ht="15.75" customHeight="1" x14ac:dyDescent="0.25">
      <c r="A642" s="26"/>
      <c r="B642" s="26"/>
    </row>
    <row r="643" spans="1:2" ht="15.75" customHeight="1" x14ac:dyDescent="0.25">
      <c r="A643" s="26"/>
      <c r="B643" s="26"/>
    </row>
    <row r="644" spans="1:2" ht="15.75" customHeight="1" x14ac:dyDescent="0.25">
      <c r="A644" s="26"/>
      <c r="B644" s="26"/>
    </row>
    <row r="645" spans="1:2" ht="15.75" customHeight="1" x14ac:dyDescent="0.25">
      <c r="A645" s="26"/>
      <c r="B645" s="26"/>
    </row>
    <row r="646" spans="1:2" ht="15.75" customHeight="1" x14ac:dyDescent="0.25">
      <c r="A646" s="26"/>
      <c r="B646" s="26"/>
    </row>
    <row r="647" spans="1:2" ht="15.75" customHeight="1" x14ac:dyDescent="0.25">
      <c r="A647" s="26"/>
      <c r="B647" s="26"/>
    </row>
    <row r="648" spans="1:2" ht="15.75" customHeight="1" x14ac:dyDescent="0.25">
      <c r="A648" s="26"/>
      <c r="B648" s="26"/>
    </row>
    <row r="649" spans="1:2" ht="15.75" customHeight="1" x14ac:dyDescent="0.25">
      <c r="A649" s="26"/>
      <c r="B649" s="26"/>
    </row>
    <row r="650" spans="1:2" ht="15.75" customHeight="1" x14ac:dyDescent="0.25">
      <c r="A650" s="26"/>
      <c r="B650" s="26"/>
    </row>
    <row r="651" spans="1:2" ht="15.75" customHeight="1" x14ac:dyDescent="0.25">
      <c r="A651" s="26"/>
      <c r="B651" s="26"/>
    </row>
    <row r="652" spans="1:2" ht="15.75" customHeight="1" x14ac:dyDescent="0.25">
      <c r="A652" s="26"/>
      <c r="B652" s="26"/>
    </row>
    <row r="653" spans="1:2" ht="15.75" customHeight="1" x14ac:dyDescent="0.25">
      <c r="A653" s="26"/>
      <c r="B653" s="26"/>
    </row>
    <row r="654" spans="1:2" ht="15.75" customHeight="1" x14ac:dyDescent="0.25">
      <c r="A654" s="26"/>
      <c r="B654" s="26"/>
    </row>
    <row r="655" spans="1:2" ht="15.75" customHeight="1" x14ac:dyDescent="0.25">
      <c r="A655" s="26"/>
      <c r="B655" s="26"/>
    </row>
    <row r="656" spans="1:2" ht="15.75" customHeight="1" x14ac:dyDescent="0.25">
      <c r="A656" s="26"/>
      <c r="B656" s="26"/>
    </row>
    <row r="657" spans="1:2" ht="15.75" customHeight="1" x14ac:dyDescent="0.25">
      <c r="A657" s="26"/>
      <c r="B657" s="26"/>
    </row>
    <row r="658" spans="1:2" ht="15.75" customHeight="1" x14ac:dyDescent="0.25">
      <c r="A658" s="26"/>
      <c r="B658" s="26"/>
    </row>
    <row r="659" spans="1:2" ht="15.75" customHeight="1" x14ac:dyDescent="0.25">
      <c r="A659" s="26"/>
      <c r="B659" s="26"/>
    </row>
    <row r="660" spans="1:2" ht="15.75" customHeight="1" x14ac:dyDescent="0.25">
      <c r="A660" s="26"/>
      <c r="B660" s="26"/>
    </row>
    <row r="661" spans="1:2" ht="15.75" customHeight="1" x14ac:dyDescent="0.25">
      <c r="A661" s="26"/>
      <c r="B661" s="26"/>
    </row>
    <row r="662" spans="1:2" ht="15.75" customHeight="1" x14ac:dyDescent="0.25">
      <c r="A662" s="26"/>
      <c r="B662" s="26"/>
    </row>
    <row r="663" spans="1:2" ht="15.75" customHeight="1" x14ac:dyDescent="0.25">
      <c r="A663" s="26"/>
      <c r="B663" s="26"/>
    </row>
    <row r="664" spans="1:2" ht="15.75" customHeight="1" x14ac:dyDescent="0.25">
      <c r="A664" s="26"/>
      <c r="B664" s="26"/>
    </row>
    <row r="665" spans="1:2" ht="15.75" customHeight="1" x14ac:dyDescent="0.25">
      <c r="A665" s="26"/>
      <c r="B665" s="26"/>
    </row>
    <row r="666" spans="1:2" ht="15.75" customHeight="1" x14ac:dyDescent="0.25">
      <c r="A666" s="26"/>
      <c r="B666" s="26"/>
    </row>
    <row r="667" spans="1:2" ht="15.75" customHeight="1" x14ac:dyDescent="0.25">
      <c r="A667" s="26"/>
      <c r="B667" s="26"/>
    </row>
    <row r="668" spans="1:2" ht="15.75" customHeight="1" x14ac:dyDescent="0.25">
      <c r="A668" s="26"/>
      <c r="B668" s="26"/>
    </row>
    <row r="669" spans="1:2" ht="15.75" customHeight="1" x14ac:dyDescent="0.25">
      <c r="A669" s="26"/>
      <c r="B669" s="26"/>
    </row>
    <row r="670" spans="1:2" ht="15.75" customHeight="1" x14ac:dyDescent="0.25">
      <c r="A670" s="26"/>
      <c r="B670" s="26"/>
    </row>
    <row r="671" spans="1:2" ht="15.75" customHeight="1" x14ac:dyDescent="0.25">
      <c r="A671" s="26"/>
      <c r="B671" s="26"/>
    </row>
    <row r="672" spans="1:2" ht="15.75" customHeight="1" x14ac:dyDescent="0.25">
      <c r="A672" s="26"/>
      <c r="B672" s="26"/>
    </row>
    <row r="673" spans="1:2" ht="15.75" customHeight="1" x14ac:dyDescent="0.25">
      <c r="A673" s="26"/>
      <c r="B673" s="26"/>
    </row>
    <row r="674" spans="1:2" ht="15.75" customHeight="1" x14ac:dyDescent="0.25">
      <c r="A674" s="26"/>
      <c r="B674" s="26"/>
    </row>
    <row r="675" spans="1:2" ht="15.75" customHeight="1" x14ac:dyDescent="0.25">
      <c r="A675" s="26"/>
      <c r="B675" s="26"/>
    </row>
    <row r="676" spans="1:2" ht="15.75" customHeight="1" x14ac:dyDescent="0.25">
      <c r="A676" s="26"/>
      <c r="B676" s="26"/>
    </row>
    <row r="677" spans="1:2" ht="15.75" customHeight="1" x14ac:dyDescent="0.25">
      <c r="A677" s="26"/>
      <c r="B677" s="26"/>
    </row>
    <row r="678" spans="1:2" ht="15.75" customHeight="1" x14ac:dyDescent="0.25">
      <c r="A678" s="26"/>
      <c r="B678" s="26"/>
    </row>
    <row r="679" spans="1:2" ht="15.75" customHeight="1" x14ac:dyDescent="0.25">
      <c r="A679" s="26"/>
      <c r="B679" s="26"/>
    </row>
    <row r="680" spans="1:2" ht="15.75" customHeight="1" x14ac:dyDescent="0.25">
      <c r="A680" s="26"/>
      <c r="B680" s="26"/>
    </row>
    <row r="681" spans="1:2" ht="15.75" customHeight="1" x14ac:dyDescent="0.25">
      <c r="A681" s="26"/>
      <c r="B681" s="26"/>
    </row>
    <row r="682" spans="1:2" ht="15.75" customHeight="1" x14ac:dyDescent="0.25">
      <c r="A682" s="26"/>
      <c r="B682" s="26"/>
    </row>
    <row r="683" spans="1:2" ht="15.75" customHeight="1" x14ac:dyDescent="0.25">
      <c r="A683" s="26"/>
      <c r="B683" s="26"/>
    </row>
    <row r="684" spans="1:2" ht="15.75" customHeight="1" x14ac:dyDescent="0.25">
      <c r="A684" s="26"/>
      <c r="B684" s="26"/>
    </row>
    <row r="685" spans="1:2" ht="15.75" customHeight="1" x14ac:dyDescent="0.25">
      <c r="A685" s="26"/>
      <c r="B685" s="26"/>
    </row>
    <row r="686" spans="1:2" ht="15.75" customHeight="1" x14ac:dyDescent="0.25">
      <c r="A686" s="26"/>
      <c r="B686" s="26"/>
    </row>
    <row r="687" spans="1:2" ht="15.75" customHeight="1" x14ac:dyDescent="0.25">
      <c r="A687" s="26"/>
      <c r="B687" s="26"/>
    </row>
    <row r="688" spans="1:2" ht="15.75" customHeight="1" x14ac:dyDescent="0.25">
      <c r="A688" s="26"/>
      <c r="B688" s="26"/>
    </row>
    <row r="689" spans="1:2" ht="15.75" customHeight="1" x14ac:dyDescent="0.25">
      <c r="A689" s="26"/>
      <c r="B689" s="26"/>
    </row>
    <row r="690" spans="1:2" ht="15.75" customHeight="1" x14ac:dyDescent="0.25">
      <c r="A690" s="26"/>
      <c r="B690" s="26"/>
    </row>
    <row r="691" spans="1:2" ht="15.75" customHeight="1" x14ac:dyDescent="0.25">
      <c r="A691" s="26"/>
      <c r="B691" s="26"/>
    </row>
    <row r="692" spans="1:2" ht="15.75" customHeight="1" x14ac:dyDescent="0.25">
      <c r="A692" s="26"/>
      <c r="B692" s="26"/>
    </row>
    <row r="693" spans="1:2" ht="15.75" customHeight="1" x14ac:dyDescent="0.25">
      <c r="A693" s="26"/>
      <c r="B693" s="26"/>
    </row>
    <row r="694" spans="1:2" ht="15.75" customHeight="1" x14ac:dyDescent="0.25">
      <c r="A694" s="26"/>
      <c r="B694" s="26"/>
    </row>
    <row r="695" spans="1:2" ht="15.75" customHeight="1" x14ac:dyDescent="0.25">
      <c r="A695" s="26"/>
      <c r="B695" s="26"/>
    </row>
    <row r="696" spans="1:2" ht="15.75" customHeight="1" x14ac:dyDescent="0.25">
      <c r="A696" s="26"/>
      <c r="B696" s="26"/>
    </row>
    <row r="697" spans="1:2" ht="15.75" customHeight="1" x14ac:dyDescent="0.25">
      <c r="A697" s="26"/>
      <c r="B697" s="26"/>
    </row>
    <row r="698" spans="1:2" ht="15.75" customHeight="1" x14ac:dyDescent="0.25">
      <c r="A698" s="26"/>
      <c r="B698" s="26"/>
    </row>
    <row r="699" spans="1:2" ht="15.75" customHeight="1" x14ac:dyDescent="0.25">
      <c r="A699" s="26"/>
      <c r="B699" s="26"/>
    </row>
    <row r="700" spans="1:2" ht="15.75" customHeight="1" x14ac:dyDescent="0.25">
      <c r="A700" s="26"/>
      <c r="B700" s="26"/>
    </row>
    <row r="701" spans="1:2" ht="15.75" customHeight="1" x14ac:dyDescent="0.25">
      <c r="A701" s="26"/>
      <c r="B701" s="26"/>
    </row>
    <row r="702" spans="1:2" ht="15.75" customHeight="1" x14ac:dyDescent="0.25">
      <c r="A702" s="26"/>
      <c r="B702" s="26"/>
    </row>
    <row r="703" spans="1:2" ht="15.75" customHeight="1" x14ac:dyDescent="0.25">
      <c r="A703" s="26"/>
      <c r="B703" s="26"/>
    </row>
    <row r="704" spans="1:2" ht="15.75" customHeight="1" x14ac:dyDescent="0.25">
      <c r="A704" s="26"/>
      <c r="B704" s="26"/>
    </row>
    <row r="705" spans="1:2" ht="15.75" customHeight="1" x14ac:dyDescent="0.25">
      <c r="A705" s="26"/>
      <c r="B705" s="26"/>
    </row>
    <row r="706" spans="1:2" ht="15.75" customHeight="1" x14ac:dyDescent="0.25">
      <c r="A706" s="26"/>
      <c r="B706" s="26"/>
    </row>
    <row r="707" spans="1:2" ht="15.75" customHeight="1" x14ac:dyDescent="0.25">
      <c r="A707" s="26"/>
      <c r="B707" s="26"/>
    </row>
    <row r="708" spans="1:2" ht="15.75" customHeight="1" x14ac:dyDescent="0.25">
      <c r="A708" s="26"/>
      <c r="B708" s="26"/>
    </row>
    <row r="709" spans="1:2" ht="15.75" customHeight="1" x14ac:dyDescent="0.25">
      <c r="A709" s="26"/>
      <c r="B709" s="26"/>
    </row>
    <row r="710" spans="1:2" ht="15.75" customHeight="1" x14ac:dyDescent="0.25">
      <c r="A710" s="26"/>
      <c r="B710" s="26"/>
    </row>
    <row r="711" spans="1:2" ht="15.75" customHeight="1" x14ac:dyDescent="0.25">
      <c r="A711" s="26"/>
      <c r="B711" s="26"/>
    </row>
    <row r="712" spans="1:2" ht="15.75" customHeight="1" x14ac:dyDescent="0.25">
      <c r="A712" s="26"/>
      <c r="B712" s="26"/>
    </row>
    <row r="713" spans="1:2" ht="15.75" customHeight="1" x14ac:dyDescent="0.25">
      <c r="A713" s="26"/>
      <c r="B713" s="26"/>
    </row>
    <row r="714" spans="1:2" ht="15.75" customHeight="1" x14ac:dyDescent="0.25">
      <c r="A714" s="26"/>
      <c r="B714" s="26"/>
    </row>
    <row r="715" spans="1:2" ht="15.75" customHeight="1" x14ac:dyDescent="0.25">
      <c r="A715" s="26"/>
      <c r="B715" s="26"/>
    </row>
    <row r="716" spans="1:2" ht="15.75" customHeight="1" x14ac:dyDescent="0.25">
      <c r="A716" s="26"/>
      <c r="B716" s="26"/>
    </row>
    <row r="717" spans="1:2" ht="15.75" customHeight="1" x14ac:dyDescent="0.25">
      <c r="A717" s="26"/>
      <c r="B717" s="26"/>
    </row>
    <row r="718" spans="1:2" ht="15.75" customHeight="1" x14ac:dyDescent="0.25">
      <c r="A718" s="26"/>
      <c r="B718" s="26"/>
    </row>
    <row r="719" spans="1:2" ht="15.75" customHeight="1" x14ac:dyDescent="0.25">
      <c r="A719" s="26"/>
      <c r="B719" s="26"/>
    </row>
    <row r="720" spans="1:2" ht="15.75" customHeight="1" x14ac:dyDescent="0.25">
      <c r="A720" s="26"/>
      <c r="B720" s="26"/>
    </row>
    <row r="721" spans="1:2" ht="15.75" customHeight="1" x14ac:dyDescent="0.25">
      <c r="A721" s="26"/>
      <c r="B721" s="26"/>
    </row>
    <row r="722" spans="1:2" ht="15.75" customHeight="1" x14ac:dyDescent="0.25">
      <c r="A722" s="26"/>
      <c r="B722" s="26"/>
    </row>
    <row r="723" spans="1:2" ht="15.75" customHeight="1" x14ac:dyDescent="0.25">
      <c r="A723" s="26"/>
      <c r="B723" s="26"/>
    </row>
    <row r="724" spans="1:2" ht="15.75" customHeight="1" x14ac:dyDescent="0.25">
      <c r="A724" s="26"/>
      <c r="B724" s="26"/>
    </row>
    <row r="725" spans="1:2" ht="15.75" customHeight="1" x14ac:dyDescent="0.25">
      <c r="A725" s="26"/>
      <c r="B725" s="26"/>
    </row>
    <row r="726" spans="1:2" ht="15.75" customHeight="1" x14ac:dyDescent="0.25">
      <c r="A726" s="26"/>
      <c r="B726" s="26"/>
    </row>
    <row r="727" spans="1:2" ht="15.75" customHeight="1" x14ac:dyDescent="0.25">
      <c r="A727" s="26"/>
      <c r="B727" s="26"/>
    </row>
    <row r="728" spans="1:2" ht="15.75" customHeight="1" x14ac:dyDescent="0.25">
      <c r="A728" s="26"/>
      <c r="B728" s="26"/>
    </row>
    <row r="729" spans="1:2" ht="15.75" customHeight="1" x14ac:dyDescent="0.25">
      <c r="A729" s="26"/>
      <c r="B729" s="26"/>
    </row>
    <row r="730" spans="1:2" ht="15.75" customHeight="1" x14ac:dyDescent="0.25">
      <c r="A730" s="26"/>
      <c r="B730" s="26"/>
    </row>
    <row r="731" spans="1:2" ht="15.75" customHeight="1" x14ac:dyDescent="0.25">
      <c r="A731" s="26"/>
      <c r="B731" s="26"/>
    </row>
    <row r="732" spans="1:2" ht="15.75" customHeight="1" x14ac:dyDescent="0.25">
      <c r="A732" s="26"/>
      <c r="B732" s="26"/>
    </row>
    <row r="733" spans="1:2" ht="15.75" customHeight="1" x14ac:dyDescent="0.25">
      <c r="A733" s="26"/>
      <c r="B733" s="26"/>
    </row>
    <row r="734" spans="1:2" ht="15.75" customHeight="1" x14ac:dyDescent="0.25">
      <c r="A734" s="26"/>
      <c r="B734" s="26"/>
    </row>
    <row r="735" spans="1:2" ht="15.75" customHeight="1" x14ac:dyDescent="0.25">
      <c r="A735" s="26"/>
      <c r="B735" s="26"/>
    </row>
    <row r="736" spans="1:2" ht="15.75" customHeight="1" x14ac:dyDescent="0.25">
      <c r="A736" s="26"/>
      <c r="B736" s="26"/>
    </row>
    <row r="737" spans="1:2" ht="15.75" customHeight="1" x14ac:dyDescent="0.25">
      <c r="A737" s="26"/>
      <c r="B737" s="26"/>
    </row>
    <row r="738" spans="1:2" ht="15.75" customHeight="1" x14ac:dyDescent="0.25">
      <c r="A738" s="26"/>
      <c r="B738" s="26"/>
    </row>
    <row r="739" spans="1:2" ht="15.75" customHeight="1" x14ac:dyDescent="0.25">
      <c r="A739" s="26"/>
      <c r="B739" s="26"/>
    </row>
    <row r="740" spans="1:2" ht="15.75" customHeight="1" x14ac:dyDescent="0.25">
      <c r="A740" s="26"/>
      <c r="B740" s="26"/>
    </row>
    <row r="741" spans="1:2" ht="15.75" customHeight="1" x14ac:dyDescent="0.25">
      <c r="A741" s="26"/>
      <c r="B741" s="26"/>
    </row>
    <row r="742" spans="1:2" ht="15.75" customHeight="1" x14ac:dyDescent="0.25">
      <c r="A742" s="26"/>
      <c r="B742" s="26"/>
    </row>
    <row r="743" spans="1:2" ht="15.75" customHeight="1" x14ac:dyDescent="0.25">
      <c r="A743" s="26"/>
      <c r="B743" s="26"/>
    </row>
    <row r="744" spans="1:2" ht="15.75" customHeight="1" x14ac:dyDescent="0.25">
      <c r="A744" s="26"/>
      <c r="B744" s="26"/>
    </row>
    <row r="745" spans="1:2" ht="15.75" customHeight="1" x14ac:dyDescent="0.25">
      <c r="A745" s="26"/>
      <c r="B745" s="26"/>
    </row>
    <row r="746" spans="1:2" ht="15.75" customHeight="1" x14ac:dyDescent="0.25">
      <c r="A746" s="26"/>
      <c r="B746" s="26"/>
    </row>
    <row r="747" spans="1:2" ht="15.75" customHeight="1" x14ac:dyDescent="0.25">
      <c r="A747" s="26"/>
      <c r="B747" s="26"/>
    </row>
    <row r="748" spans="1:2" ht="15.75" customHeight="1" x14ac:dyDescent="0.25">
      <c r="A748" s="26"/>
      <c r="B748" s="26"/>
    </row>
    <row r="749" spans="1:2" ht="15.75" customHeight="1" x14ac:dyDescent="0.25">
      <c r="A749" s="26"/>
      <c r="B749" s="26"/>
    </row>
    <row r="750" spans="1:2" ht="15.75" customHeight="1" x14ac:dyDescent="0.25">
      <c r="A750" s="26"/>
      <c r="B750" s="26"/>
    </row>
    <row r="751" spans="1:2" ht="15.75" customHeight="1" x14ac:dyDescent="0.25">
      <c r="A751" s="26"/>
      <c r="B751" s="26"/>
    </row>
    <row r="752" spans="1:2" ht="15.75" customHeight="1" x14ac:dyDescent="0.25">
      <c r="A752" s="26"/>
      <c r="B752" s="26"/>
    </row>
    <row r="753" spans="1:2" ht="15.75" customHeight="1" x14ac:dyDescent="0.25">
      <c r="A753" s="26"/>
      <c r="B753" s="26"/>
    </row>
    <row r="754" spans="1:2" ht="15.75" customHeight="1" x14ac:dyDescent="0.25">
      <c r="A754" s="26"/>
      <c r="B754" s="26"/>
    </row>
    <row r="755" spans="1:2" ht="15.75" customHeight="1" x14ac:dyDescent="0.25">
      <c r="A755" s="26"/>
      <c r="B755" s="26"/>
    </row>
    <row r="756" spans="1:2" ht="15.75" customHeight="1" x14ac:dyDescent="0.25">
      <c r="A756" s="26"/>
      <c r="B756" s="26"/>
    </row>
    <row r="757" spans="1:2" ht="15.75" customHeight="1" x14ac:dyDescent="0.25">
      <c r="A757" s="26"/>
      <c r="B757" s="26"/>
    </row>
    <row r="758" spans="1:2" ht="15.75" customHeight="1" x14ac:dyDescent="0.25">
      <c r="A758" s="26"/>
      <c r="B758" s="26"/>
    </row>
    <row r="759" spans="1:2" ht="15.75" customHeight="1" x14ac:dyDescent="0.25">
      <c r="A759" s="26"/>
      <c r="B759" s="26"/>
    </row>
    <row r="760" spans="1:2" ht="15.75" customHeight="1" x14ac:dyDescent="0.25">
      <c r="A760" s="26"/>
      <c r="B760" s="26"/>
    </row>
    <row r="761" spans="1:2" ht="15.75" customHeight="1" x14ac:dyDescent="0.25">
      <c r="A761" s="26"/>
      <c r="B761" s="26"/>
    </row>
    <row r="762" spans="1:2" ht="15.75" customHeight="1" x14ac:dyDescent="0.25">
      <c r="A762" s="26"/>
      <c r="B762" s="26"/>
    </row>
    <row r="763" spans="1:2" ht="15.75" customHeight="1" x14ac:dyDescent="0.25">
      <c r="A763" s="26"/>
      <c r="B763" s="26"/>
    </row>
    <row r="764" spans="1:2" ht="15.75" customHeight="1" x14ac:dyDescent="0.25">
      <c r="A764" s="26"/>
      <c r="B764" s="26"/>
    </row>
    <row r="765" spans="1:2" ht="15.75" customHeight="1" x14ac:dyDescent="0.25">
      <c r="A765" s="26"/>
      <c r="B765" s="26"/>
    </row>
    <row r="766" spans="1:2" ht="15.75" customHeight="1" x14ac:dyDescent="0.25">
      <c r="A766" s="26"/>
      <c r="B766" s="26"/>
    </row>
    <row r="767" spans="1:2" ht="15.75" customHeight="1" x14ac:dyDescent="0.25">
      <c r="A767" s="26"/>
      <c r="B767" s="26"/>
    </row>
    <row r="768" spans="1:2" ht="15.75" customHeight="1" x14ac:dyDescent="0.25">
      <c r="A768" s="26"/>
      <c r="B768" s="26"/>
    </row>
    <row r="769" spans="1:2" ht="15.75" customHeight="1" x14ac:dyDescent="0.25">
      <c r="A769" s="26"/>
      <c r="B769" s="26"/>
    </row>
    <row r="770" spans="1:2" ht="15.75" customHeight="1" x14ac:dyDescent="0.25">
      <c r="A770" s="26"/>
      <c r="B770" s="26"/>
    </row>
    <row r="771" spans="1:2" ht="15.75" customHeight="1" x14ac:dyDescent="0.25">
      <c r="A771" s="26"/>
      <c r="B771" s="26"/>
    </row>
    <row r="772" spans="1:2" ht="15.75" customHeight="1" x14ac:dyDescent="0.25">
      <c r="A772" s="26"/>
      <c r="B772" s="26"/>
    </row>
    <row r="773" spans="1:2" ht="15.75" customHeight="1" x14ac:dyDescent="0.25">
      <c r="A773" s="26"/>
      <c r="B773" s="26"/>
    </row>
    <row r="774" spans="1:2" ht="15.75" customHeight="1" x14ac:dyDescent="0.25">
      <c r="A774" s="26"/>
      <c r="B774" s="26"/>
    </row>
    <row r="775" spans="1:2" ht="15.75" customHeight="1" x14ac:dyDescent="0.25">
      <c r="A775" s="26"/>
      <c r="B775" s="26"/>
    </row>
    <row r="776" spans="1:2" ht="15.75" customHeight="1" x14ac:dyDescent="0.25">
      <c r="A776" s="26"/>
      <c r="B776" s="26"/>
    </row>
    <row r="777" spans="1:2" ht="15.75" customHeight="1" x14ac:dyDescent="0.25">
      <c r="A777" s="26"/>
      <c r="B777" s="26"/>
    </row>
    <row r="778" spans="1:2" ht="15.75" customHeight="1" x14ac:dyDescent="0.25">
      <c r="A778" s="26"/>
      <c r="B778" s="26"/>
    </row>
    <row r="779" spans="1:2" ht="15.75" customHeight="1" x14ac:dyDescent="0.25">
      <c r="A779" s="26"/>
      <c r="B779" s="26"/>
    </row>
    <row r="780" spans="1:2" ht="15.75" customHeight="1" x14ac:dyDescent="0.25">
      <c r="A780" s="26"/>
      <c r="B780" s="26"/>
    </row>
    <row r="781" spans="1:2" ht="15.75" customHeight="1" x14ac:dyDescent="0.25">
      <c r="A781" s="26"/>
      <c r="B781" s="26"/>
    </row>
    <row r="782" spans="1:2" ht="15.75" customHeight="1" x14ac:dyDescent="0.25">
      <c r="A782" s="26"/>
      <c r="B782" s="26"/>
    </row>
    <row r="783" spans="1:2" ht="15.75" customHeight="1" x14ac:dyDescent="0.25">
      <c r="A783" s="26"/>
      <c r="B783" s="26"/>
    </row>
    <row r="784" spans="1:2" ht="15.75" customHeight="1" x14ac:dyDescent="0.25">
      <c r="A784" s="26"/>
      <c r="B784" s="26"/>
    </row>
    <row r="785" spans="1:2" ht="15.75" customHeight="1" x14ac:dyDescent="0.25">
      <c r="A785" s="26"/>
      <c r="B785" s="26"/>
    </row>
    <row r="786" spans="1:2" ht="15.75" customHeight="1" x14ac:dyDescent="0.25">
      <c r="A786" s="26"/>
      <c r="B786" s="26"/>
    </row>
    <row r="787" spans="1:2" ht="15.75" customHeight="1" x14ac:dyDescent="0.25">
      <c r="A787" s="26"/>
      <c r="B787" s="26"/>
    </row>
    <row r="788" spans="1:2" ht="15.75" customHeight="1" x14ac:dyDescent="0.25">
      <c r="A788" s="26"/>
      <c r="B788" s="26"/>
    </row>
    <row r="789" spans="1:2" ht="15.75" customHeight="1" x14ac:dyDescent="0.25">
      <c r="A789" s="26"/>
      <c r="B789" s="26"/>
    </row>
    <row r="790" spans="1:2" ht="15.75" customHeight="1" x14ac:dyDescent="0.25">
      <c r="A790" s="26"/>
      <c r="B790" s="26"/>
    </row>
    <row r="791" spans="1:2" ht="15.75" customHeight="1" x14ac:dyDescent="0.25">
      <c r="A791" s="26"/>
      <c r="B791" s="26"/>
    </row>
    <row r="792" spans="1:2" ht="15.75" customHeight="1" x14ac:dyDescent="0.25">
      <c r="A792" s="26"/>
      <c r="B792" s="26"/>
    </row>
    <row r="793" spans="1:2" ht="15.75" customHeight="1" x14ac:dyDescent="0.25">
      <c r="A793" s="26"/>
      <c r="B793" s="26"/>
    </row>
    <row r="794" spans="1:2" ht="15.75" customHeight="1" x14ac:dyDescent="0.25">
      <c r="A794" s="26"/>
      <c r="B794" s="26"/>
    </row>
    <row r="795" spans="1:2" ht="15.75" customHeight="1" x14ac:dyDescent="0.25">
      <c r="A795" s="26"/>
      <c r="B795" s="26"/>
    </row>
    <row r="796" spans="1:2" ht="15.75" customHeight="1" x14ac:dyDescent="0.25">
      <c r="A796" s="26"/>
      <c r="B796" s="26"/>
    </row>
    <row r="797" spans="1:2" ht="15.75" customHeight="1" x14ac:dyDescent="0.25">
      <c r="A797" s="26"/>
      <c r="B797" s="26"/>
    </row>
    <row r="798" spans="1:2" ht="15.75" customHeight="1" x14ac:dyDescent="0.25">
      <c r="A798" s="26"/>
      <c r="B798" s="26"/>
    </row>
    <row r="799" spans="1:2" ht="15.75" customHeight="1" x14ac:dyDescent="0.25">
      <c r="A799" s="26"/>
      <c r="B799" s="26"/>
    </row>
    <row r="800" spans="1:2" ht="15.75" customHeight="1" x14ac:dyDescent="0.25">
      <c r="A800" s="26"/>
      <c r="B800" s="26"/>
    </row>
    <row r="801" spans="1:2" ht="15.75" customHeight="1" x14ac:dyDescent="0.25">
      <c r="A801" s="26"/>
      <c r="B801" s="26"/>
    </row>
    <row r="802" spans="1:2" ht="15.75" customHeight="1" x14ac:dyDescent="0.25">
      <c r="A802" s="26"/>
      <c r="B802" s="26"/>
    </row>
    <row r="803" spans="1:2" ht="15.75" customHeight="1" x14ac:dyDescent="0.25">
      <c r="A803" s="26"/>
      <c r="B803" s="26"/>
    </row>
    <row r="804" spans="1:2" ht="15.75" customHeight="1" x14ac:dyDescent="0.25">
      <c r="A804" s="26"/>
      <c r="B804" s="26"/>
    </row>
    <row r="805" spans="1:2" ht="15.75" customHeight="1" x14ac:dyDescent="0.25">
      <c r="A805" s="26"/>
      <c r="B805" s="26"/>
    </row>
    <row r="806" spans="1:2" ht="15.75" customHeight="1" x14ac:dyDescent="0.25">
      <c r="A806" s="26"/>
      <c r="B806" s="26"/>
    </row>
    <row r="807" spans="1:2" ht="15.75" customHeight="1" x14ac:dyDescent="0.25">
      <c r="A807" s="26"/>
      <c r="B807" s="26"/>
    </row>
    <row r="808" spans="1:2" ht="15.75" customHeight="1" x14ac:dyDescent="0.25">
      <c r="A808" s="26"/>
      <c r="B808" s="26"/>
    </row>
    <row r="809" spans="1:2" ht="15.75" customHeight="1" x14ac:dyDescent="0.25">
      <c r="A809" s="26"/>
      <c r="B809" s="26"/>
    </row>
    <row r="810" spans="1:2" ht="15.75" customHeight="1" x14ac:dyDescent="0.25">
      <c r="A810" s="26"/>
      <c r="B810" s="26"/>
    </row>
    <row r="811" spans="1:2" ht="15.75" customHeight="1" x14ac:dyDescent="0.25">
      <c r="A811" s="26"/>
      <c r="B811" s="26"/>
    </row>
    <row r="812" spans="1:2" ht="15.75" customHeight="1" x14ac:dyDescent="0.25">
      <c r="A812" s="26"/>
      <c r="B812" s="26"/>
    </row>
    <row r="813" spans="1:2" ht="15.75" customHeight="1" x14ac:dyDescent="0.25">
      <c r="A813" s="26"/>
      <c r="B813" s="26"/>
    </row>
    <row r="814" spans="1:2" ht="15.75" customHeight="1" x14ac:dyDescent="0.25">
      <c r="A814" s="26"/>
      <c r="B814" s="26"/>
    </row>
    <row r="815" spans="1:2" ht="15.75" customHeight="1" x14ac:dyDescent="0.25">
      <c r="A815" s="26"/>
      <c r="B815" s="26"/>
    </row>
    <row r="816" spans="1:2" ht="15.75" customHeight="1" x14ac:dyDescent="0.25">
      <c r="A816" s="26"/>
      <c r="B816" s="26"/>
    </row>
    <row r="817" spans="1:2" ht="15.75" customHeight="1" x14ac:dyDescent="0.25">
      <c r="A817" s="26"/>
      <c r="B817" s="26"/>
    </row>
    <row r="818" spans="1:2" ht="15.75" customHeight="1" x14ac:dyDescent="0.25">
      <c r="A818" s="26"/>
      <c r="B818" s="26"/>
    </row>
    <row r="819" spans="1:2" ht="15.75" customHeight="1" x14ac:dyDescent="0.25">
      <c r="A819" s="26"/>
      <c r="B819" s="26"/>
    </row>
    <row r="820" spans="1:2" ht="15.75" customHeight="1" x14ac:dyDescent="0.25">
      <c r="A820" s="26"/>
      <c r="B820" s="26"/>
    </row>
    <row r="821" spans="1:2" ht="15.75" customHeight="1" x14ac:dyDescent="0.25">
      <c r="A821" s="26"/>
      <c r="B821" s="26"/>
    </row>
    <row r="822" spans="1:2" ht="15.75" customHeight="1" x14ac:dyDescent="0.25">
      <c r="A822" s="26"/>
      <c r="B822" s="26"/>
    </row>
    <row r="823" spans="1:2" ht="15.75" customHeight="1" x14ac:dyDescent="0.25">
      <c r="A823" s="26"/>
      <c r="B823" s="26"/>
    </row>
    <row r="824" spans="1:2" ht="15.75" customHeight="1" x14ac:dyDescent="0.25">
      <c r="A824" s="26"/>
      <c r="B824" s="26"/>
    </row>
    <row r="825" spans="1:2" ht="15.75" customHeight="1" x14ac:dyDescent="0.25">
      <c r="A825" s="26"/>
      <c r="B825" s="26"/>
    </row>
    <row r="826" spans="1:2" ht="15.75" customHeight="1" x14ac:dyDescent="0.25">
      <c r="A826" s="26"/>
      <c r="B826" s="26"/>
    </row>
    <row r="827" spans="1:2" ht="15.75" customHeight="1" x14ac:dyDescent="0.25">
      <c r="A827" s="26"/>
      <c r="B827" s="26"/>
    </row>
    <row r="828" spans="1:2" ht="15.75" customHeight="1" x14ac:dyDescent="0.25">
      <c r="A828" s="26"/>
      <c r="B828" s="26"/>
    </row>
    <row r="829" spans="1:2" ht="15.75" customHeight="1" x14ac:dyDescent="0.25">
      <c r="A829" s="26"/>
      <c r="B829" s="26"/>
    </row>
    <row r="830" spans="1:2" ht="15.75" customHeight="1" x14ac:dyDescent="0.25">
      <c r="A830" s="26"/>
      <c r="B830" s="26"/>
    </row>
    <row r="831" spans="1:2" ht="15.75" customHeight="1" x14ac:dyDescent="0.25">
      <c r="A831" s="26"/>
      <c r="B831" s="26"/>
    </row>
    <row r="832" spans="1:2" ht="15.75" customHeight="1" x14ac:dyDescent="0.25">
      <c r="A832" s="26"/>
      <c r="B832" s="26"/>
    </row>
    <row r="833" spans="1:2" ht="15.75" customHeight="1" x14ac:dyDescent="0.25">
      <c r="A833" s="26"/>
      <c r="B833" s="26"/>
    </row>
    <row r="834" spans="1:2" ht="15.75" customHeight="1" x14ac:dyDescent="0.25">
      <c r="A834" s="26"/>
      <c r="B834" s="26"/>
    </row>
    <row r="835" spans="1:2" ht="15.75" customHeight="1" x14ac:dyDescent="0.25">
      <c r="A835" s="26"/>
      <c r="B835" s="26"/>
    </row>
    <row r="836" spans="1:2" ht="15.75" customHeight="1" x14ac:dyDescent="0.25">
      <c r="A836" s="26"/>
      <c r="B836" s="26"/>
    </row>
    <row r="837" spans="1:2" ht="15.75" customHeight="1" x14ac:dyDescent="0.25">
      <c r="A837" s="26"/>
      <c r="B837" s="26"/>
    </row>
    <row r="838" spans="1:2" ht="15.75" customHeight="1" x14ac:dyDescent="0.25">
      <c r="A838" s="26"/>
      <c r="B838" s="26"/>
    </row>
    <row r="839" spans="1:2" ht="15.75" customHeight="1" x14ac:dyDescent="0.25">
      <c r="A839" s="26"/>
      <c r="B839" s="26"/>
    </row>
    <row r="840" spans="1:2" ht="15.75" customHeight="1" x14ac:dyDescent="0.25">
      <c r="A840" s="26"/>
      <c r="B840" s="26"/>
    </row>
    <row r="841" spans="1:2" ht="15.75" customHeight="1" x14ac:dyDescent="0.25">
      <c r="A841" s="26"/>
      <c r="B841" s="26"/>
    </row>
    <row r="842" spans="1:2" ht="15.75" customHeight="1" x14ac:dyDescent="0.25">
      <c r="A842" s="26"/>
      <c r="B842" s="26"/>
    </row>
    <row r="843" spans="1:2" ht="15.75" customHeight="1" x14ac:dyDescent="0.25">
      <c r="A843" s="26"/>
      <c r="B843" s="26"/>
    </row>
    <row r="844" spans="1:2" ht="15.75" customHeight="1" x14ac:dyDescent="0.25">
      <c r="A844" s="26"/>
      <c r="B844" s="26"/>
    </row>
    <row r="845" spans="1:2" ht="15.75" customHeight="1" x14ac:dyDescent="0.25">
      <c r="A845" s="26"/>
      <c r="B845" s="26"/>
    </row>
    <row r="846" spans="1:2" ht="15.75" customHeight="1" x14ac:dyDescent="0.25">
      <c r="A846" s="26"/>
      <c r="B846" s="26"/>
    </row>
    <row r="847" spans="1:2" ht="15.75" customHeight="1" x14ac:dyDescent="0.25">
      <c r="A847" s="26"/>
      <c r="B847" s="26"/>
    </row>
    <row r="848" spans="1:2" ht="15.75" customHeight="1" x14ac:dyDescent="0.25">
      <c r="A848" s="26"/>
      <c r="B848" s="26"/>
    </row>
    <row r="849" spans="1:2" ht="15.75" customHeight="1" x14ac:dyDescent="0.25">
      <c r="A849" s="26"/>
      <c r="B849" s="26"/>
    </row>
    <row r="850" spans="1:2" ht="15.75" customHeight="1" x14ac:dyDescent="0.25">
      <c r="A850" s="26"/>
      <c r="B850" s="26"/>
    </row>
    <row r="851" spans="1:2" ht="15.75" customHeight="1" x14ac:dyDescent="0.25">
      <c r="A851" s="26"/>
      <c r="B851" s="26"/>
    </row>
    <row r="852" spans="1:2" ht="15.75" customHeight="1" x14ac:dyDescent="0.25">
      <c r="A852" s="26"/>
      <c r="B852" s="26"/>
    </row>
    <row r="853" spans="1:2" ht="15.75" customHeight="1" x14ac:dyDescent="0.25">
      <c r="A853" s="26"/>
      <c r="B853" s="26"/>
    </row>
    <row r="854" spans="1:2" ht="15.75" customHeight="1" x14ac:dyDescent="0.25">
      <c r="A854" s="26"/>
      <c r="B854" s="26"/>
    </row>
    <row r="855" spans="1:2" ht="15.75" customHeight="1" x14ac:dyDescent="0.25">
      <c r="A855" s="26"/>
      <c r="B855" s="26"/>
    </row>
    <row r="856" spans="1:2" ht="15.75" customHeight="1" x14ac:dyDescent="0.25">
      <c r="A856" s="26"/>
      <c r="B856" s="26"/>
    </row>
    <row r="857" spans="1:2" ht="15.75" customHeight="1" x14ac:dyDescent="0.25">
      <c r="A857" s="26"/>
      <c r="B857" s="26"/>
    </row>
    <row r="858" spans="1:2" ht="15.75" customHeight="1" x14ac:dyDescent="0.25">
      <c r="A858" s="26"/>
      <c r="B858" s="26"/>
    </row>
    <row r="859" spans="1:2" ht="15.75" customHeight="1" x14ac:dyDescent="0.25">
      <c r="A859" s="26"/>
      <c r="B859" s="26"/>
    </row>
    <row r="860" spans="1:2" ht="15.75" customHeight="1" x14ac:dyDescent="0.25">
      <c r="A860" s="26"/>
      <c r="B860" s="26"/>
    </row>
    <row r="861" spans="1:2" ht="15.75" customHeight="1" x14ac:dyDescent="0.25">
      <c r="A861" s="26"/>
      <c r="B861" s="26"/>
    </row>
    <row r="862" spans="1:2" ht="15.75" customHeight="1" x14ac:dyDescent="0.25">
      <c r="A862" s="26"/>
      <c r="B862" s="26"/>
    </row>
    <row r="863" spans="1:2" ht="15.75" customHeight="1" x14ac:dyDescent="0.25">
      <c r="A863" s="26"/>
      <c r="B863" s="26"/>
    </row>
    <row r="864" spans="1:2" ht="15.75" customHeight="1" x14ac:dyDescent="0.25">
      <c r="A864" s="26"/>
      <c r="B864" s="26"/>
    </row>
    <row r="865" spans="1:2" ht="15.75" customHeight="1" x14ac:dyDescent="0.25">
      <c r="A865" s="26"/>
      <c r="B865" s="26"/>
    </row>
    <row r="866" spans="1:2" ht="15.75" customHeight="1" x14ac:dyDescent="0.25">
      <c r="A866" s="26"/>
      <c r="B866" s="26"/>
    </row>
    <row r="867" spans="1:2" ht="15.75" customHeight="1" x14ac:dyDescent="0.25">
      <c r="A867" s="26"/>
      <c r="B867" s="26"/>
    </row>
    <row r="868" spans="1:2" ht="15.75" customHeight="1" x14ac:dyDescent="0.25">
      <c r="A868" s="26"/>
      <c r="B868" s="26"/>
    </row>
    <row r="869" spans="1:2" ht="15.75" customHeight="1" x14ac:dyDescent="0.25">
      <c r="A869" s="26"/>
      <c r="B869" s="26"/>
    </row>
    <row r="870" spans="1:2" ht="15.75" customHeight="1" x14ac:dyDescent="0.25">
      <c r="A870" s="26"/>
      <c r="B870" s="26"/>
    </row>
    <row r="871" spans="1:2" ht="15.75" customHeight="1" x14ac:dyDescent="0.25">
      <c r="A871" s="26"/>
      <c r="B871" s="26"/>
    </row>
    <row r="872" spans="1:2" ht="15.75" customHeight="1" x14ac:dyDescent="0.25">
      <c r="A872" s="26"/>
      <c r="B872" s="26"/>
    </row>
    <row r="873" spans="1:2" ht="15.75" customHeight="1" x14ac:dyDescent="0.25">
      <c r="A873" s="26"/>
      <c r="B873" s="26"/>
    </row>
    <row r="874" spans="1:2" ht="15.75" customHeight="1" x14ac:dyDescent="0.25">
      <c r="A874" s="26"/>
      <c r="B874" s="26"/>
    </row>
    <row r="875" spans="1:2" ht="15.75" customHeight="1" x14ac:dyDescent="0.25">
      <c r="A875" s="26"/>
      <c r="B875" s="26"/>
    </row>
    <row r="876" spans="1:2" ht="15.75" customHeight="1" x14ac:dyDescent="0.25">
      <c r="A876" s="26"/>
      <c r="B876" s="26"/>
    </row>
    <row r="877" spans="1:2" ht="15.75" customHeight="1" x14ac:dyDescent="0.25">
      <c r="A877" s="26"/>
      <c r="B877" s="26"/>
    </row>
    <row r="878" spans="1:2" ht="15.75" customHeight="1" x14ac:dyDescent="0.25">
      <c r="A878" s="26"/>
      <c r="B878" s="26"/>
    </row>
    <row r="879" spans="1:2" ht="15.75" customHeight="1" x14ac:dyDescent="0.25">
      <c r="A879" s="26"/>
      <c r="B879" s="26"/>
    </row>
    <row r="880" spans="1:2" ht="15.75" customHeight="1" x14ac:dyDescent="0.25">
      <c r="A880" s="26"/>
      <c r="B880" s="26"/>
    </row>
    <row r="881" spans="1:2" ht="15.75" customHeight="1" x14ac:dyDescent="0.25">
      <c r="A881" s="26"/>
      <c r="B881" s="26"/>
    </row>
    <row r="882" spans="1:2" ht="15.75" customHeight="1" x14ac:dyDescent="0.25">
      <c r="A882" s="26"/>
      <c r="B882" s="26"/>
    </row>
    <row r="883" spans="1:2" ht="15.75" customHeight="1" x14ac:dyDescent="0.25">
      <c r="A883" s="26"/>
      <c r="B883" s="26"/>
    </row>
    <row r="884" spans="1:2" ht="15.75" customHeight="1" x14ac:dyDescent="0.25">
      <c r="A884" s="26"/>
      <c r="B884" s="26"/>
    </row>
    <row r="885" spans="1:2" ht="15.75" customHeight="1" x14ac:dyDescent="0.25">
      <c r="A885" s="26"/>
      <c r="B885" s="26"/>
    </row>
    <row r="886" spans="1:2" ht="15.75" customHeight="1" x14ac:dyDescent="0.25">
      <c r="A886" s="26"/>
      <c r="B886" s="26"/>
    </row>
    <row r="887" spans="1:2" ht="15.75" customHeight="1" x14ac:dyDescent="0.25">
      <c r="A887" s="26"/>
      <c r="B887" s="26"/>
    </row>
    <row r="888" spans="1:2" ht="15.75" customHeight="1" x14ac:dyDescent="0.25">
      <c r="A888" s="26"/>
      <c r="B888" s="26"/>
    </row>
    <row r="889" spans="1:2" ht="15.75" customHeight="1" x14ac:dyDescent="0.25">
      <c r="A889" s="26"/>
      <c r="B889" s="26"/>
    </row>
    <row r="890" spans="1:2" ht="15.75" customHeight="1" x14ac:dyDescent="0.25">
      <c r="A890" s="26"/>
      <c r="B890" s="26"/>
    </row>
    <row r="891" spans="1:2" ht="15.75" customHeight="1" x14ac:dyDescent="0.25">
      <c r="A891" s="26"/>
      <c r="B891" s="26"/>
    </row>
    <row r="892" spans="1:2" ht="15.75" customHeight="1" x14ac:dyDescent="0.25">
      <c r="A892" s="26"/>
      <c r="B892" s="26"/>
    </row>
    <row r="893" spans="1:2" ht="15.75" customHeight="1" x14ac:dyDescent="0.25">
      <c r="A893" s="26"/>
      <c r="B893" s="26"/>
    </row>
    <row r="894" spans="1:2" ht="15.75" customHeight="1" x14ac:dyDescent="0.25">
      <c r="A894" s="26"/>
      <c r="B894" s="26"/>
    </row>
    <row r="895" spans="1:2" ht="15.75" customHeight="1" x14ac:dyDescent="0.25">
      <c r="A895" s="26"/>
      <c r="B895" s="26"/>
    </row>
    <row r="896" spans="1:2" ht="15.75" customHeight="1" x14ac:dyDescent="0.25">
      <c r="A896" s="26"/>
      <c r="B896" s="26"/>
    </row>
    <row r="897" spans="1:2" ht="15.75" customHeight="1" x14ac:dyDescent="0.25">
      <c r="A897" s="26"/>
      <c r="B897" s="26"/>
    </row>
    <row r="898" spans="1:2" ht="15.75" customHeight="1" x14ac:dyDescent="0.25">
      <c r="A898" s="26"/>
      <c r="B898" s="26"/>
    </row>
    <row r="899" spans="1:2" ht="15.75" customHeight="1" x14ac:dyDescent="0.25">
      <c r="A899" s="26"/>
      <c r="B899" s="26"/>
    </row>
    <row r="900" spans="1:2" ht="15.75" customHeight="1" x14ac:dyDescent="0.25">
      <c r="A900" s="26"/>
      <c r="B900" s="26"/>
    </row>
    <row r="901" spans="1:2" ht="15.75" customHeight="1" x14ac:dyDescent="0.25">
      <c r="A901" s="26"/>
      <c r="B901" s="26"/>
    </row>
    <row r="902" spans="1:2" ht="15.75" customHeight="1" x14ac:dyDescent="0.25">
      <c r="A902" s="26"/>
      <c r="B902" s="26"/>
    </row>
    <row r="903" spans="1:2" ht="15.75" customHeight="1" x14ac:dyDescent="0.25">
      <c r="A903" s="26"/>
      <c r="B903" s="26"/>
    </row>
    <row r="904" spans="1:2" ht="15.75" customHeight="1" x14ac:dyDescent="0.25">
      <c r="A904" s="26"/>
      <c r="B904" s="26"/>
    </row>
    <row r="905" spans="1:2" ht="15.75" customHeight="1" x14ac:dyDescent="0.25">
      <c r="A905" s="26"/>
      <c r="B905" s="26"/>
    </row>
    <row r="906" spans="1:2" ht="15.75" customHeight="1" x14ac:dyDescent="0.25">
      <c r="A906" s="26"/>
      <c r="B906" s="26"/>
    </row>
    <row r="907" spans="1:2" ht="15.75" customHeight="1" x14ac:dyDescent="0.25">
      <c r="A907" s="26"/>
      <c r="B907" s="26"/>
    </row>
    <row r="908" spans="1:2" ht="15.75" customHeight="1" x14ac:dyDescent="0.25">
      <c r="A908" s="26"/>
      <c r="B908" s="26"/>
    </row>
    <row r="909" spans="1:2" ht="15.75" customHeight="1" x14ac:dyDescent="0.25">
      <c r="A909" s="26"/>
      <c r="B909" s="26"/>
    </row>
    <row r="910" spans="1:2" ht="15.75" customHeight="1" x14ac:dyDescent="0.25">
      <c r="A910" s="26"/>
      <c r="B910" s="26"/>
    </row>
    <row r="911" spans="1:2" ht="15.75" customHeight="1" x14ac:dyDescent="0.25">
      <c r="A911" s="26"/>
      <c r="B911" s="26"/>
    </row>
    <row r="912" spans="1:2" ht="15.75" customHeight="1" x14ac:dyDescent="0.25">
      <c r="A912" s="26"/>
      <c r="B912" s="26"/>
    </row>
    <row r="913" spans="1:2" ht="15.75" customHeight="1" x14ac:dyDescent="0.25">
      <c r="A913" s="26"/>
      <c r="B913" s="26"/>
    </row>
    <row r="914" spans="1:2" ht="15.75" customHeight="1" x14ac:dyDescent="0.25">
      <c r="A914" s="26"/>
      <c r="B914" s="26"/>
    </row>
    <row r="915" spans="1:2" ht="15.75" customHeight="1" x14ac:dyDescent="0.25">
      <c r="A915" s="26"/>
      <c r="B915" s="26"/>
    </row>
    <row r="916" spans="1:2" ht="15.75" customHeight="1" x14ac:dyDescent="0.25">
      <c r="A916" s="26"/>
      <c r="B916" s="26"/>
    </row>
    <row r="917" spans="1:2" ht="15.75" customHeight="1" x14ac:dyDescent="0.25">
      <c r="A917" s="26"/>
      <c r="B917" s="26"/>
    </row>
    <row r="918" spans="1:2" ht="15.75" customHeight="1" x14ac:dyDescent="0.25">
      <c r="A918" s="26"/>
      <c r="B918" s="26"/>
    </row>
    <row r="919" spans="1:2" ht="15.75" customHeight="1" x14ac:dyDescent="0.25">
      <c r="A919" s="26"/>
      <c r="B919" s="26"/>
    </row>
    <row r="920" spans="1:2" ht="15.75" customHeight="1" x14ac:dyDescent="0.25">
      <c r="A920" s="26"/>
      <c r="B920" s="26"/>
    </row>
    <row r="921" spans="1:2" ht="15.75" customHeight="1" x14ac:dyDescent="0.25">
      <c r="A921" s="26"/>
      <c r="B921" s="26"/>
    </row>
    <row r="922" spans="1:2" ht="15.75" customHeight="1" x14ac:dyDescent="0.25">
      <c r="A922" s="26"/>
      <c r="B922" s="26"/>
    </row>
    <row r="923" spans="1:2" ht="15.75" customHeight="1" x14ac:dyDescent="0.25">
      <c r="A923" s="26"/>
      <c r="B923" s="26"/>
    </row>
    <row r="924" spans="1:2" ht="15.75" customHeight="1" x14ac:dyDescent="0.25">
      <c r="A924" s="26"/>
      <c r="B924" s="26"/>
    </row>
    <row r="925" spans="1:2" ht="15.75" customHeight="1" x14ac:dyDescent="0.25">
      <c r="A925" s="26"/>
      <c r="B925" s="26"/>
    </row>
    <row r="926" spans="1:2" ht="15.75" customHeight="1" x14ac:dyDescent="0.25">
      <c r="A926" s="26"/>
      <c r="B926" s="26"/>
    </row>
    <row r="927" spans="1:2" ht="15.75" customHeight="1" x14ac:dyDescent="0.25">
      <c r="A927" s="26"/>
      <c r="B927" s="26"/>
    </row>
    <row r="928" spans="1:2" ht="15.75" customHeight="1" x14ac:dyDescent="0.25">
      <c r="A928" s="26"/>
      <c r="B928" s="26"/>
    </row>
    <row r="929" spans="1:2" ht="15.75" customHeight="1" x14ac:dyDescent="0.25">
      <c r="A929" s="26"/>
      <c r="B929" s="26"/>
    </row>
    <row r="930" spans="1:2" ht="15.75" customHeight="1" x14ac:dyDescent="0.25">
      <c r="A930" s="26"/>
      <c r="B930" s="26"/>
    </row>
    <row r="931" spans="1:2" ht="15.75" customHeight="1" x14ac:dyDescent="0.25">
      <c r="A931" s="26"/>
      <c r="B931" s="26"/>
    </row>
    <row r="932" spans="1:2" ht="15.75" customHeight="1" x14ac:dyDescent="0.25">
      <c r="A932" s="26"/>
      <c r="B932" s="26"/>
    </row>
    <row r="933" spans="1:2" ht="15.75" customHeight="1" x14ac:dyDescent="0.25">
      <c r="A933" s="26"/>
      <c r="B933" s="26"/>
    </row>
    <row r="934" spans="1:2" ht="15.75" customHeight="1" x14ac:dyDescent="0.25">
      <c r="A934" s="26"/>
      <c r="B934" s="26"/>
    </row>
    <row r="935" spans="1:2" ht="15.75" customHeight="1" x14ac:dyDescent="0.25">
      <c r="A935" s="26"/>
      <c r="B935" s="26"/>
    </row>
    <row r="936" spans="1:2" ht="15.75" customHeight="1" x14ac:dyDescent="0.25">
      <c r="A936" s="26"/>
      <c r="B936" s="26"/>
    </row>
    <row r="937" spans="1:2" ht="15.75" customHeight="1" x14ac:dyDescent="0.25">
      <c r="A937" s="26"/>
      <c r="B937" s="26"/>
    </row>
    <row r="938" spans="1:2" ht="15.75" customHeight="1" x14ac:dyDescent="0.25">
      <c r="A938" s="26"/>
      <c r="B938" s="26"/>
    </row>
    <row r="939" spans="1:2" ht="15.75" customHeight="1" x14ac:dyDescent="0.25">
      <c r="A939" s="26"/>
      <c r="B939" s="26"/>
    </row>
    <row r="940" spans="1:2" ht="15.75" customHeight="1" x14ac:dyDescent="0.25">
      <c r="A940" s="26"/>
      <c r="B940" s="26"/>
    </row>
    <row r="941" spans="1:2" ht="15.75" customHeight="1" x14ac:dyDescent="0.25">
      <c r="A941" s="26"/>
      <c r="B941" s="26"/>
    </row>
    <row r="942" spans="1:2" ht="15.75" customHeight="1" x14ac:dyDescent="0.25">
      <c r="A942" s="26"/>
      <c r="B942" s="26"/>
    </row>
    <row r="943" spans="1:2" ht="15.75" customHeight="1" x14ac:dyDescent="0.25">
      <c r="A943" s="26"/>
      <c r="B943" s="26"/>
    </row>
    <row r="944" spans="1:2" ht="15.75" customHeight="1" x14ac:dyDescent="0.25">
      <c r="A944" s="26"/>
      <c r="B944" s="26"/>
    </row>
    <row r="945" spans="1:2" ht="15.75" customHeight="1" x14ac:dyDescent="0.25">
      <c r="A945" s="26"/>
      <c r="B945" s="26"/>
    </row>
    <row r="946" spans="1:2" ht="15.75" customHeight="1" x14ac:dyDescent="0.25">
      <c r="A946" s="26"/>
      <c r="B946" s="26"/>
    </row>
    <row r="947" spans="1:2" ht="15.75" customHeight="1" x14ac:dyDescent="0.25">
      <c r="A947" s="26"/>
      <c r="B947" s="26"/>
    </row>
    <row r="948" spans="1:2" ht="15.75" customHeight="1" x14ac:dyDescent="0.25">
      <c r="A948" s="26"/>
      <c r="B948" s="26"/>
    </row>
    <row r="949" spans="1:2" ht="15.75" customHeight="1" x14ac:dyDescent="0.25">
      <c r="A949" s="26"/>
      <c r="B949" s="26"/>
    </row>
    <row r="950" spans="1:2" ht="15.75" customHeight="1" x14ac:dyDescent="0.25">
      <c r="A950" s="26"/>
      <c r="B950" s="26"/>
    </row>
    <row r="951" spans="1:2" ht="15.75" customHeight="1" x14ac:dyDescent="0.25">
      <c r="A951" s="26"/>
      <c r="B951" s="26"/>
    </row>
    <row r="952" spans="1:2" ht="15.75" customHeight="1" x14ac:dyDescent="0.25">
      <c r="A952" s="26"/>
      <c r="B952" s="26"/>
    </row>
    <row r="953" spans="1:2" ht="15.75" customHeight="1" x14ac:dyDescent="0.25">
      <c r="A953" s="26"/>
      <c r="B953" s="26"/>
    </row>
    <row r="954" spans="1:2" ht="15.75" customHeight="1" x14ac:dyDescent="0.25">
      <c r="A954" s="26"/>
      <c r="B954" s="26"/>
    </row>
    <row r="955" spans="1:2" ht="15.75" customHeight="1" x14ac:dyDescent="0.25">
      <c r="A955" s="26"/>
      <c r="B955" s="26"/>
    </row>
    <row r="956" spans="1:2" ht="15.75" customHeight="1" x14ac:dyDescent="0.25">
      <c r="A956" s="26"/>
      <c r="B956" s="26"/>
    </row>
    <row r="957" spans="1:2" ht="15.75" customHeight="1" x14ac:dyDescent="0.25">
      <c r="A957" s="26"/>
      <c r="B957" s="26"/>
    </row>
    <row r="958" spans="1:2" ht="15.75" customHeight="1" x14ac:dyDescent="0.25">
      <c r="A958" s="26"/>
      <c r="B958" s="26"/>
    </row>
    <row r="959" spans="1:2" ht="15.75" customHeight="1" x14ac:dyDescent="0.25">
      <c r="A959" s="26"/>
      <c r="B959" s="26"/>
    </row>
    <row r="960" spans="1:2" ht="15.75" customHeight="1" x14ac:dyDescent="0.25">
      <c r="A960" s="26"/>
      <c r="B960" s="26"/>
    </row>
    <row r="961" spans="1:2" ht="15.75" customHeight="1" x14ac:dyDescent="0.25">
      <c r="A961" s="26"/>
      <c r="B961" s="26"/>
    </row>
    <row r="962" spans="1:2" ht="15.75" customHeight="1" x14ac:dyDescent="0.25">
      <c r="A962" s="26"/>
      <c r="B962" s="26"/>
    </row>
    <row r="963" spans="1:2" ht="15.75" customHeight="1" x14ac:dyDescent="0.25">
      <c r="A963" s="26"/>
      <c r="B963" s="26"/>
    </row>
    <row r="964" spans="1:2" ht="15.75" customHeight="1" x14ac:dyDescent="0.25">
      <c r="A964" s="26"/>
      <c r="B964" s="26"/>
    </row>
    <row r="965" spans="1:2" ht="15.75" customHeight="1" x14ac:dyDescent="0.25">
      <c r="A965" s="26"/>
      <c r="B965" s="26"/>
    </row>
    <row r="966" spans="1:2" ht="15.75" customHeight="1" x14ac:dyDescent="0.25">
      <c r="A966" s="26"/>
      <c r="B966" s="26"/>
    </row>
    <row r="967" spans="1:2" ht="15.75" customHeight="1" x14ac:dyDescent="0.25">
      <c r="A967" s="26"/>
      <c r="B967" s="26"/>
    </row>
    <row r="968" spans="1:2" ht="15.75" customHeight="1" x14ac:dyDescent="0.25">
      <c r="A968" s="26"/>
      <c r="B968" s="26"/>
    </row>
    <row r="969" spans="1:2" ht="15.75" customHeight="1" x14ac:dyDescent="0.25">
      <c r="A969" s="26"/>
      <c r="B969" s="26"/>
    </row>
    <row r="970" spans="1:2" ht="15.75" customHeight="1" x14ac:dyDescent="0.25">
      <c r="A970" s="26"/>
      <c r="B970" s="26"/>
    </row>
    <row r="971" spans="1:2" ht="15.75" customHeight="1" x14ac:dyDescent="0.25">
      <c r="A971" s="26"/>
      <c r="B971" s="26"/>
    </row>
    <row r="972" spans="1:2" ht="15.75" customHeight="1" x14ac:dyDescent="0.25">
      <c r="A972" s="26"/>
      <c r="B972" s="26"/>
    </row>
    <row r="973" spans="1:2" ht="15.75" customHeight="1" x14ac:dyDescent="0.25">
      <c r="A973" s="26"/>
      <c r="B973" s="26"/>
    </row>
    <row r="974" spans="1:2" ht="15.75" customHeight="1" x14ac:dyDescent="0.25">
      <c r="A974" s="26"/>
      <c r="B974" s="26"/>
    </row>
    <row r="975" spans="1:2" ht="15.75" customHeight="1" x14ac:dyDescent="0.25">
      <c r="A975" s="26"/>
      <c r="B975" s="26"/>
    </row>
    <row r="976" spans="1:2" ht="15.75" customHeight="1" x14ac:dyDescent="0.25">
      <c r="A976" s="26"/>
      <c r="B976" s="26"/>
    </row>
    <row r="977" spans="1:2" ht="15.75" customHeight="1" x14ac:dyDescent="0.25">
      <c r="A977" s="26"/>
      <c r="B977" s="26"/>
    </row>
    <row r="978" spans="1:2" ht="15.75" customHeight="1" x14ac:dyDescent="0.25">
      <c r="A978" s="26"/>
      <c r="B978" s="26"/>
    </row>
    <row r="979" spans="1:2" ht="15.75" customHeight="1" x14ac:dyDescent="0.25">
      <c r="A979" s="26"/>
      <c r="B979" s="26"/>
    </row>
    <row r="980" spans="1:2" ht="15.75" customHeight="1" x14ac:dyDescent="0.25">
      <c r="A980" s="26"/>
      <c r="B980" s="26"/>
    </row>
    <row r="981" spans="1:2" ht="15.75" customHeight="1" x14ac:dyDescent="0.25">
      <c r="A981" s="26"/>
      <c r="B981" s="26"/>
    </row>
    <row r="982" spans="1:2" ht="15.75" customHeight="1" x14ac:dyDescent="0.25">
      <c r="A982" s="26"/>
      <c r="B982" s="26"/>
    </row>
    <row r="983" spans="1:2" ht="15.75" customHeight="1" x14ac:dyDescent="0.25">
      <c r="A983" s="26"/>
      <c r="B983" s="26"/>
    </row>
    <row r="984" spans="1:2" ht="15.75" customHeight="1" x14ac:dyDescent="0.25">
      <c r="A984" s="26"/>
      <c r="B984" s="26"/>
    </row>
    <row r="985" spans="1:2" ht="15.75" customHeight="1" x14ac:dyDescent="0.25">
      <c r="A985" s="26"/>
      <c r="B985" s="26"/>
    </row>
    <row r="986" spans="1:2" ht="15.75" customHeight="1" x14ac:dyDescent="0.25">
      <c r="A986" s="26"/>
      <c r="B986" s="26"/>
    </row>
    <row r="987" spans="1:2" ht="15.75" customHeight="1" x14ac:dyDescent="0.25">
      <c r="A987" s="26"/>
      <c r="B987" s="26"/>
    </row>
    <row r="988" spans="1:2" ht="15.75" customHeight="1" x14ac:dyDescent="0.25">
      <c r="A988" s="26"/>
      <c r="B988" s="26"/>
    </row>
    <row r="989" spans="1:2" ht="15.75" customHeight="1" x14ac:dyDescent="0.25">
      <c r="A989" s="26"/>
      <c r="B989" s="26"/>
    </row>
    <row r="990" spans="1:2" ht="15.75" customHeight="1" x14ac:dyDescent="0.25">
      <c r="A990" s="26"/>
      <c r="B990" s="26"/>
    </row>
    <row r="991" spans="1:2" ht="15.75" customHeight="1" x14ac:dyDescent="0.25">
      <c r="A991" s="26"/>
      <c r="B991" s="26"/>
    </row>
    <row r="992" spans="1:2" ht="15.75" customHeight="1" x14ac:dyDescent="0.25">
      <c r="A992" s="26"/>
      <c r="B992" s="26"/>
    </row>
    <row r="993" spans="1:2" ht="15.75" customHeight="1" x14ac:dyDescent="0.25">
      <c r="A993" s="26"/>
      <c r="B993" s="26"/>
    </row>
    <row r="994" spans="1:2" ht="15.75" customHeight="1" x14ac:dyDescent="0.25">
      <c r="A994" s="26"/>
      <c r="B994" s="26"/>
    </row>
    <row r="995" spans="1:2" ht="15.75" customHeight="1" x14ac:dyDescent="0.25">
      <c r="A995" s="26"/>
      <c r="B995" s="26"/>
    </row>
    <row r="996" spans="1:2" ht="15.75" customHeight="1" x14ac:dyDescent="0.25">
      <c r="A996" s="26"/>
      <c r="B996" s="26"/>
    </row>
    <row r="997" spans="1:2" ht="15.75" customHeight="1" x14ac:dyDescent="0.25">
      <c r="A997" s="26"/>
      <c r="B997" s="26"/>
    </row>
    <row r="998" spans="1:2" ht="15.75" customHeight="1" x14ac:dyDescent="0.25">
      <c r="A998" s="26"/>
      <c r="B998" s="26"/>
    </row>
    <row r="999" spans="1:2" ht="15.75" customHeight="1" x14ac:dyDescent="0.25">
      <c r="A999" s="26"/>
      <c r="B999" s="26"/>
    </row>
    <row r="1000" spans="1:2" ht="15.75" customHeight="1" x14ac:dyDescent="0.25">
      <c r="A1000" s="26"/>
      <c r="B1000" s="26"/>
    </row>
    <row r="1001" spans="1:2" ht="15.75" customHeight="1" x14ac:dyDescent="0.25">
      <c r="A1001" s="26"/>
      <c r="B1001" s="26"/>
    </row>
    <row r="1002" spans="1:2" ht="15.75" customHeight="1" x14ac:dyDescent="0.25">
      <c r="A1002" s="26"/>
      <c r="B1002" s="26"/>
    </row>
    <row r="1003" spans="1:2" ht="15.75" customHeight="1" x14ac:dyDescent="0.25">
      <c r="A1003" s="26"/>
      <c r="B1003" s="26"/>
    </row>
    <row r="1004" spans="1:2" ht="15.75" customHeight="1" x14ac:dyDescent="0.25">
      <c r="A1004" s="26"/>
      <c r="B1004" s="26"/>
    </row>
    <row r="1005" spans="1:2" ht="15.75" customHeight="1" x14ac:dyDescent="0.25">
      <c r="A1005" s="26"/>
      <c r="B1005" s="26"/>
    </row>
    <row r="1006" spans="1:2" ht="15.75" customHeight="1" x14ac:dyDescent="0.25">
      <c r="A1006" s="26"/>
      <c r="B1006" s="26"/>
    </row>
    <row r="1007" spans="1:2" ht="15.75" customHeight="1" x14ac:dyDescent="0.25">
      <c r="A1007" s="26"/>
      <c r="B1007" s="26"/>
    </row>
    <row r="1008" spans="1:2" ht="15.75" customHeight="1" x14ac:dyDescent="0.25">
      <c r="A1008" s="26"/>
      <c r="B1008" s="26"/>
    </row>
    <row r="1009" spans="1:2" ht="15.75" customHeight="1" x14ac:dyDescent="0.25">
      <c r="A1009" s="26"/>
      <c r="B1009" s="26"/>
    </row>
    <row r="1010" spans="1:2" ht="15.75" customHeight="1" x14ac:dyDescent="0.25">
      <c r="A1010" s="26"/>
      <c r="B1010" s="26"/>
    </row>
    <row r="1011" spans="1:2" ht="15.75" customHeight="1" x14ac:dyDescent="0.25">
      <c r="A1011" s="26"/>
      <c r="B1011" s="26"/>
    </row>
    <row r="1012" spans="1:2" ht="15.75" customHeight="1" x14ac:dyDescent="0.25">
      <c r="A1012" s="26"/>
      <c r="B1012" s="26"/>
    </row>
    <row r="1013" spans="1:2" ht="15.75" customHeight="1" x14ac:dyDescent="0.25">
      <c r="A1013" s="26"/>
      <c r="B1013" s="26"/>
    </row>
    <row r="1014" spans="1:2" ht="15.75" customHeight="1" x14ac:dyDescent="0.25">
      <c r="A1014" s="26"/>
      <c r="B1014" s="26"/>
    </row>
    <row r="1015" spans="1:2" ht="15.75" customHeight="1" x14ac:dyDescent="0.25">
      <c r="A1015" s="26"/>
      <c r="B1015" s="26"/>
    </row>
    <row r="1016" spans="1:2" ht="15.75" customHeight="1" x14ac:dyDescent="0.25">
      <c r="A1016" s="26"/>
      <c r="B1016" s="26"/>
    </row>
    <row r="1017" spans="1:2" ht="15.75" customHeight="1" x14ac:dyDescent="0.25">
      <c r="A1017" s="26"/>
      <c r="B1017" s="26"/>
    </row>
    <row r="1018" spans="1:2" ht="15.75" customHeight="1" x14ac:dyDescent="0.25">
      <c r="A1018" s="26"/>
      <c r="B1018" s="26"/>
    </row>
    <row r="1019" spans="1:2" ht="15.75" customHeight="1" x14ac:dyDescent="0.25">
      <c r="A1019" s="26"/>
      <c r="B1019" s="26"/>
    </row>
    <row r="1020" spans="1:2" ht="15.75" customHeight="1" x14ac:dyDescent="0.25">
      <c r="A1020" s="26"/>
      <c r="B1020" s="26"/>
    </row>
    <row r="1021" spans="1:2" ht="15.75" customHeight="1" x14ac:dyDescent="0.25">
      <c r="A1021" s="26"/>
      <c r="B1021" s="26"/>
    </row>
    <row r="1022" spans="1:2" ht="15.75" customHeight="1" x14ac:dyDescent="0.25">
      <c r="A1022" s="26"/>
      <c r="B1022" s="26"/>
    </row>
    <row r="1023" spans="1:2" ht="15.75" customHeight="1" x14ac:dyDescent="0.25">
      <c r="A1023" s="26"/>
      <c r="B1023" s="26"/>
    </row>
    <row r="1024" spans="1:2" ht="15.75" customHeight="1" x14ac:dyDescent="0.25">
      <c r="A1024" s="26"/>
      <c r="B1024" s="26"/>
    </row>
    <row r="1025" spans="1:2" ht="15.75" customHeight="1" x14ac:dyDescent="0.25">
      <c r="A1025" s="26"/>
      <c r="B1025" s="26"/>
    </row>
    <row r="1026" spans="1:2" ht="15.75" customHeight="1" x14ac:dyDescent="0.25">
      <c r="A1026" s="26"/>
      <c r="B1026" s="26"/>
    </row>
    <row r="1027" spans="1:2" ht="15.75" customHeight="1" x14ac:dyDescent="0.25">
      <c r="A1027" s="26"/>
      <c r="B1027" s="26"/>
    </row>
    <row r="1028" spans="1:2" ht="15.75" customHeight="1" x14ac:dyDescent="0.25">
      <c r="A1028" s="26"/>
      <c r="B1028" s="26"/>
    </row>
    <row r="1029" spans="1:2" ht="15.75" customHeight="1" x14ac:dyDescent="0.25">
      <c r="A1029" s="26"/>
      <c r="B1029" s="26"/>
    </row>
    <row r="1030" spans="1:2" ht="15.75" customHeight="1" x14ac:dyDescent="0.25">
      <c r="A1030" s="26"/>
      <c r="B1030" s="26"/>
    </row>
    <row r="1031" spans="1:2" ht="15.75" customHeight="1" x14ac:dyDescent="0.25">
      <c r="A1031" s="26"/>
      <c r="B1031" s="26"/>
    </row>
    <row r="1032" spans="1:2" ht="15.75" customHeight="1" x14ac:dyDescent="0.25">
      <c r="A1032" s="26"/>
      <c r="B1032" s="26"/>
    </row>
    <row r="1033" spans="1:2" ht="15.75" customHeight="1" x14ac:dyDescent="0.25">
      <c r="A1033" s="26"/>
      <c r="B1033" s="26"/>
    </row>
    <row r="1034" spans="1:2" ht="15.75" customHeight="1" x14ac:dyDescent="0.25">
      <c r="A1034" s="26"/>
      <c r="B1034" s="26"/>
    </row>
    <row r="1035" spans="1:2" ht="15.75" customHeight="1" x14ac:dyDescent="0.25">
      <c r="A1035" s="26"/>
      <c r="B1035" s="26"/>
    </row>
    <row r="1036" spans="1:2" ht="15.75" customHeight="1" x14ac:dyDescent="0.25">
      <c r="A1036" s="26"/>
      <c r="B1036" s="26"/>
    </row>
    <row r="1037" spans="1:2" ht="15.75" customHeight="1" x14ac:dyDescent="0.25">
      <c r="A1037" s="26"/>
      <c r="B1037" s="26"/>
    </row>
    <row r="1038" spans="1:2" ht="15.75" customHeight="1" x14ac:dyDescent="0.25">
      <c r="A1038" s="26"/>
      <c r="B1038" s="26"/>
    </row>
    <row r="1039" spans="1:2" ht="15.75" customHeight="1" x14ac:dyDescent="0.25">
      <c r="A1039" s="26"/>
      <c r="B1039" s="26"/>
    </row>
    <row r="1040" spans="1:2" ht="15.75" customHeight="1" x14ac:dyDescent="0.25">
      <c r="A1040" s="26"/>
      <c r="B1040" s="26"/>
    </row>
    <row r="1041" spans="1:2" ht="15.75" customHeight="1" x14ac:dyDescent="0.25">
      <c r="A1041" s="26"/>
      <c r="B1041" s="26"/>
    </row>
    <row r="1042" spans="1:2" ht="15.75" customHeight="1" x14ac:dyDescent="0.25">
      <c r="A1042" s="26"/>
      <c r="B1042" s="26"/>
    </row>
    <row r="1043" spans="1:2" ht="15.75" customHeight="1" x14ac:dyDescent="0.25">
      <c r="A1043" s="26"/>
      <c r="B1043" s="26"/>
    </row>
    <row r="1044" spans="1:2" ht="15.75" customHeight="1" x14ac:dyDescent="0.25">
      <c r="A1044" s="26"/>
      <c r="B1044" s="26"/>
    </row>
    <row r="1045" spans="1:2" ht="15.75" customHeight="1" x14ac:dyDescent="0.25">
      <c r="A1045" s="26"/>
      <c r="B1045" s="26"/>
    </row>
    <row r="1046" spans="1:2" ht="15.75" customHeight="1" x14ac:dyDescent="0.25">
      <c r="A1046" s="26"/>
      <c r="B1046" s="26"/>
    </row>
    <row r="1047" spans="1:2" ht="15.75" customHeight="1" x14ac:dyDescent="0.25">
      <c r="A1047" s="26"/>
      <c r="B1047" s="26"/>
    </row>
    <row r="1048" spans="1:2" ht="15.75" customHeight="1" x14ac:dyDescent="0.25">
      <c r="A1048" s="26"/>
      <c r="B1048" s="26"/>
    </row>
    <row r="1049" spans="1:2" ht="15.75" customHeight="1" x14ac:dyDescent="0.25">
      <c r="A1049" s="26"/>
      <c r="B1049" s="26"/>
    </row>
    <row r="1050" spans="1:2" ht="15.75" customHeight="1" x14ac:dyDescent="0.25">
      <c r="A1050" s="26"/>
      <c r="B1050" s="26"/>
    </row>
    <row r="1051" spans="1:2" ht="15.75" customHeight="1" x14ac:dyDescent="0.25">
      <c r="A1051" s="26"/>
      <c r="B1051" s="26"/>
    </row>
    <row r="1052" spans="1:2" ht="15.75" customHeight="1" x14ac:dyDescent="0.25">
      <c r="A1052" s="26"/>
      <c r="B1052" s="26"/>
    </row>
    <row r="1053" spans="1:2" ht="15.75" customHeight="1" x14ac:dyDescent="0.25">
      <c r="A1053" s="26"/>
      <c r="B1053" s="26"/>
    </row>
    <row r="1054" spans="1:2" ht="15.75" customHeight="1" x14ac:dyDescent="0.25">
      <c r="A1054" s="26"/>
      <c r="B1054" s="26"/>
    </row>
    <row r="1055" spans="1:2" ht="15.75" customHeight="1" x14ac:dyDescent="0.25">
      <c r="A1055" s="26"/>
      <c r="B1055" s="26"/>
    </row>
    <row r="1056" spans="1:2" ht="15.75" customHeight="1" x14ac:dyDescent="0.25">
      <c r="A1056" s="26"/>
      <c r="B1056" s="26"/>
    </row>
    <row r="1057" spans="1:2" ht="15.75" customHeight="1" x14ac:dyDescent="0.25">
      <c r="A1057" s="26"/>
      <c r="B1057" s="26"/>
    </row>
    <row r="1058" spans="1:2" ht="15.75" customHeight="1" x14ac:dyDescent="0.25">
      <c r="A1058" s="26"/>
      <c r="B1058" s="26"/>
    </row>
    <row r="1059" spans="1:2" ht="15.75" customHeight="1" x14ac:dyDescent="0.25">
      <c r="A1059" s="26"/>
      <c r="B1059" s="26"/>
    </row>
    <row r="1060" spans="1:2" ht="15.75" customHeight="1" x14ac:dyDescent="0.25">
      <c r="A1060" s="26"/>
      <c r="B1060" s="26"/>
    </row>
    <row r="1061" spans="1:2" ht="15.75" customHeight="1" x14ac:dyDescent="0.25">
      <c r="A1061" s="26"/>
      <c r="B1061" s="26"/>
    </row>
    <row r="1062" spans="1:2" ht="15.75" customHeight="1" x14ac:dyDescent="0.25">
      <c r="A1062" s="26"/>
      <c r="B1062" s="26"/>
    </row>
    <row r="1063" spans="1:2" ht="15.75" customHeight="1" x14ac:dyDescent="0.25">
      <c r="A1063" s="26"/>
      <c r="B1063" s="26"/>
    </row>
    <row r="1064" spans="1:2" ht="15.75" customHeight="1" x14ac:dyDescent="0.25">
      <c r="A1064" s="26"/>
      <c r="B1064" s="26"/>
    </row>
    <row r="1065" spans="1:2" ht="15.75" customHeight="1" x14ac:dyDescent="0.25">
      <c r="A1065" s="26"/>
      <c r="B1065" s="26"/>
    </row>
    <row r="1066" spans="1:2" ht="15.75" customHeight="1" x14ac:dyDescent="0.25">
      <c r="A1066" s="26"/>
      <c r="B1066" s="26"/>
    </row>
    <row r="1067" spans="1:2" ht="15.75" customHeight="1" x14ac:dyDescent="0.25">
      <c r="A1067" s="26"/>
      <c r="B1067" s="26"/>
    </row>
    <row r="1068" spans="1:2" ht="15.75" customHeight="1" x14ac:dyDescent="0.25">
      <c r="A1068" s="26"/>
      <c r="B1068" s="26"/>
    </row>
    <row r="1069" spans="1:2" ht="15.75" customHeight="1" x14ac:dyDescent="0.25">
      <c r="A1069" s="26"/>
      <c r="B1069" s="26"/>
    </row>
    <row r="1070" spans="1:2" ht="15.75" customHeight="1" x14ac:dyDescent="0.25">
      <c r="A1070" s="26"/>
      <c r="B1070" s="26"/>
    </row>
    <row r="1071" spans="1:2" ht="15.75" customHeight="1" x14ac:dyDescent="0.25">
      <c r="A1071" s="26"/>
      <c r="B1071" s="26"/>
    </row>
    <row r="1072" spans="1:2" ht="15.75" customHeight="1" x14ac:dyDescent="0.25">
      <c r="A1072" s="26"/>
      <c r="B1072" s="26"/>
    </row>
    <row r="1073" spans="1:2" ht="15.75" customHeight="1" x14ac:dyDescent="0.25">
      <c r="A1073" s="26"/>
      <c r="B1073" s="26"/>
    </row>
    <row r="1074" spans="1:2" ht="15.75" customHeight="1" x14ac:dyDescent="0.25">
      <c r="A1074" s="26"/>
      <c r="B1074" s="26"/>
    </row>
    <row r="1075" spans="1:2" ht="15.75" customHeight="1" x14ac:dyDescent="0.25">
      <c r="A1075" s="26"/>
      <c r="B1075" s="26"/>
    </row>
    <row r="1076" spans="1:2" ht="15.75" customHeight="1" x14ac:dyDescent="0.25">
      <c r="A1076" s="26"/>
      <c r="B1076" s="26"/>
    </row>
    <row r="1077" spans="1:2" ht="15.75" customHeight="1" x14ac:dyDescent="0.25">
      <c r="A1077" s="26"/>
      <c r="B1077" s="26"/>
    </row>
    <row r="1078" spans="1:2" ht="15.75" customHeight="1" x14ac:dyDescent="0.25">
      <c r="A1078" s="26"/>
      <c r="B1078" s="26"/>
    </row>
    <row r="1079" spans="1:2" ht="15.75" customHeight="1" x14ac:dyDescent="0.25">
      <c r="A1079" s="26"/>
      <c r="B1079" s="26"/>
    </row>
    <row r="1080" spans="1:2" ht="15.75" customHeight="1" x14ac:dyDescent="0.25">
      <c r="A1080" s="26"/>
      <c r="B1080" s="26"/>
    </row>
    <row r="1081" spans="1:2" ht="15.75" customHeight="1" x14ac:dyDescent="0.25">
      <c r="A1081" s="26"/>
      <c r="B1081" s="26"/>
    </row>
    <row r="1082" spans="1:2" ht="15.75" customHeight="1" x14ac:dyDescent="0.25">
      <c r="A1082" s="26"/>
      <c r="B1082" s="26"/>
    </row>
    <row r="1083" spans="1:2" ht="15.75" customHeight="1" x14ac:dyDescent="0.25">
      <c r="A1083" s="26"/>
      <c r="B1083" s="26"/>
    </row>
    <row r="1084" spans="1:2" ht="15.75" customHeight="1" x14ac:dyDescent="0.25">
      <c r="A1084" s="26"/>
      <c r="B1084" s="26"/>
    </row>
    <row r="1085" spans="1:2" ht="15.75" customHeight="1" x14ac:dyDescent="0.25">
      <c r="A1085" s="26"/>
      <c r="B1085" s="26"/>
    </row>
    <row r="1086" spans="1:2" ht="15.75" customHeight="1" x14ac:dyDescent="0.25">
      <c r="A1086" s="26"/>
      <c r="B1086" s="26"/>
    </row>
    <row r="1087" spans="1:2" ht="15.75" customHeight="1" x14ac:dyDescent="0.25">
      <c r="A1087" s="26"/>
      <c r="B1087" s="26"/>
    </row>
    <row r="1088" spans="1:2" ht="15.75" customHeight="1" x14ac:dyDescent="0.25">
      <c r="A1088" s="26"/>
      <c r="B1088" s="26"/>
    </row>
    <row r="1089" spans="1:2" ht="15.75" customHeight="1" x14ac:dyDescent="0.25">
      <c r="A1089" s="26"/>
      <c r="B1089" s="26"/>
    </row>
    <row r="1090" spans="1:2" ht="15.75" customHeight="1" x14ac:dyDescent="0.25">
      <c r="A1090" s="26"/>
      <c r="B1090" s="26"/>
    </row>
    <row r="1091" spans="1:2" ht="15.75" customHeight="1" x14ac:dyDescent="0.25">
      <c r="A1091" s="26"/>
      <c r="B1091" s="26"/>
    </row>
    <row r="1092" spans="1:2" ht="15.75" customHeight="1" x14ac:dyDescent="0.25">
      <c r="A1092" s="26"/>
      <c r="B1092" s="26"/>
    </row>
    <row r="1093" spans="1:2" ht="15.75" customHeight="1" x14ac:dyDescent="0.25">
      <c r="A1093" s="26"/>
      <c r="B1093" s="26"/>
    </row>
    <row r="1094" spans="1:2" ht="15.75" customHeight="1" x14ac:dyDescent="0.25">
      <c r="A1094" s="26"/>
      <c r="B1094" s="26"/>
    </row>
    <row r="1095" spans="1:2" ht="15.75" customHeight="1" x14ac:dyDescent="0.25">
      <c r="A1095" s="26"/>
      <c r="B1095" s="26"/>
    </row>
    <row r="1096" spans="1:2" ht="15.75" customHeight="1" x14ac:dyDescent="0.25">
      <c r="A1096" s="26"/>
      <c r="B1096" s="26"/>
    </row>
    <row r="1097" spans="1:2" ht="15.75" customHeight="1" x14ac:dyDescent="0.25">
      <c r="A1097" s="26"/>
      <c r="B1097" s="26"/>
    </row>
    <row r="1098" spans="1:2" ht="15.75" customHeight="1" x14ac:dyDescent="0.25">
      <c r="A1098" s="26"/>
      <c r="B1098" s="26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98"/>
  <sheetViews>
    <sheetView workbookViewId="0"/>
  </sheetViews>
  <sheetFormatPr baseColWidth="10" defaultColWidth="14.42578125" defaultRowHeight="15" customHeight="1" x14ac:dyDescent="0.25"/>
  <cols>
    <col min="1" max="1" width="21.28515625" customWidth="1"/>
    <col min="2" max="2" width="26" customWidth="1"/>
    <col min="3" max="3" width="23.28515625" customWidth="1"/>
    <col min="4" max="4" width="12.140625" customWidth="1"/>
    <col min="5" max="6" width="17.28515625" customWidth="1"/>
    <col min="7" max="7" width="11.7109375" customWidth="1"/>
    <col min="8" max="8" width="15.42578125" customWidth="1"/>
    <col min="9" max="9" width="9.140625" customWidth="1"/>
    <col min="10" max="24" width="10" customWidth="1"/>
  </cols>
  <sheetData>
    <row r="1" spans="1:24" ht="15.75" x14ac:dyDescent="0.25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24" x14ac:dyDescent="0.25">
      <c r="A2" s="1" t="s">
        <v>9</v>
      </c>
      <c r="B2" s="6">
        <v>46251</v>
      </c>
      <c r="C2" s="4"/>
      <c r="D2" s="4"/>
      <c r="E2" s="4"/>
      <c r="F2" s="4"/>
      <c r="G2" s="4"/>
      <c r="H2" s="4"/>
    </row>
    <row r="3" spans="1:24" x14ac:dyDescent="0.25">
      <c r="A3" s="1"/>
      <c r="B3" s="1"/>
      <c r="C3" s="4"/>
      <c r="D3" s="4"/>
      <c r="E3" s="4"/>
      <c r="F3" s="4"/>
      <c r="G3" s="4"/>
      <c r="H3" s="4"/>
    </row>
    <row r="4" spans="1:24" ht="27" customHeight="1" x14ac:dyDescent="0.35">
      <c r="A4" s="7"/>
      <c r="B4" s="8" t="s">
        <v>2</v>
      </c>
      <c r="C4" s="9"/>
      <c r="E4" s="10"/>
      <c r="F4" s="11"/>
      <c r="G4" s="11"/>
      <c r="H4" s="4"/>
    </row>
    <row r="5" spans="1:24" x14ac:dyDescent="0.25">
      <c r="A5" s="13" t="s">
        <v>3</v>
      </c>
      <c r="B5" s="13" t="s">
        <v>4</v>
      </c>
      <c r="C5" s="14" t="s">
        <v>5</v>
      </c>
      <c r="D5" s="14" t="s">
        <v>6</v>
      </c>
      <c r="E5" s="14" t="s">
        <v>10</v>
      </c>
      <c r="F5" s="14" t="s">
        <v>7</v>
      </c>
      <c r="G5" s="14" t="s">
        <v>8</v>
      </c>
      <c r="I5" s="15"/>
      <c r="J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5.75" customHeight="1" x14ac:dyDescent="0.25">
      <c r="A6" s="17">
        <v>4164</v>
      </c>
      <c r="B6" s="17">
        <v>1</v>
      </c>
      <c r="C6" s="17" t="s">
        <v>13</v>
      </c>
      <c r="D6" s="16" t="s">
        <v>16</v>
      </c>
      <c r="E6" s="16" t="s">
        <v>19</v>
      </c>
      <c r="F6" s="16" t="s">
        <v>20</v>
      </c>
      <c r="G6" s="16">
        <v>162.68</v>
      </c>
    </row>
    <row r="7" spans="1:24" ht="15.75" customHeight="1" x14ac:dyDescent="0.25">
      <c r="A7" s="17">
        <v>2000</v>
      </c>
      <c r="B7" s="17">
        <v>2</v>
      </c>
      <c r="C7" s="17" t="s">
        <v>22</v>
      </c>
      <c r="D7" s="16" t="s">
        <v>23</v>
      </c>
      <c r="E7" s="16" t="s">
        <v>24</v>
      </c>
      <c r="F7" s="16" t="s">
        <v>27</v>
      </c>
      <c r="G7" s="16">
        <v>152.54</v>
      </c>
      <c r="I7" s="20"/>
      <c r="J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15.75" customHeight="1" x14ac:dyDescent="0.25">
      <c r="A8" s="17">
        <v>5978</v>
      </c>
      <c r="B8" s="17">
        <v>3</v>
      </c>
      <c r="C8" s="17" t="s">
        <v>29</v>
      </c>
      <c r="D8" s="16" t="s">
        <v>30</v>
      </c>
      <c r="E8" s="16" t="s">
        <v>32</v>
      </c>
      <c r="F8" s="16" t="s">
        <v>34</v>
      </c>
      <c r="G8" s="16">
        <v>130.26</v>
      </c>
      <c r="I8" s="20"/>
      <c r="J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5.75" customHeight="1" x14ac:dyDescent="0.25">
      <c r="A9" s="17">
        <v>4152</v>
      </c>
      <c r="B9" s="17">
        <v>4</v>
      </c>
      <c r="C9" s="17" t="s">
        <v>37</v>
      </c>
      <c r="D9" s="16" t="s">
        <v>38</v>
      </c>
      <c r="E9" s="16" t="s">
        <v>19</v>
      </c>
      <c r="F9" s="16" t="s">
        <v>39</v>
      </c>
      <c r="G9" s="16">
        <v>119.1</v>
      </c>
      <c r="I9" s="20"/>
      <c r="J9" s="20"/>
      <c r="P9" s="20"/>
      <c r="Q9" s="20"/>
      <c r="R9" s="20"/>
      <c r="S9" s="20"/>
      <c r="T9" s="20"/>
      <c r="U9" s="20"/>
      <c r="V9" s="20"/>
      <c r="W9" s="20"/>
      <c r="X9" s="20"/>
    </row>
    <row r="10" spans="1:24" ht="15.75" customHeight="1" x14ac:dyDescent="0.25">
      <c r="A10" s="17">
        <v>5969</v>
      </c>
      <c r="B10" s="17">
        <v>5</v>
      </c>
      <c r="C10" s="17" t="s">
        <v>48</v>
      </c>
      <c r="D10" s="16" t="s">
        <v>49</v>
      </c>
      <c r="E10" s="16" t="s">
        <v>32</v>
      </c>
      <c r="F10" s="16" t="s">
        <v>34</v>
      </c>
      <c r="G10" s="16">
        <v>113.96</v>
      </c>
      <c r="I10" s="20"/>
      <c r="J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ht="15.75" customHeight="1" x14ac:dyDescent="0.25">
      <c r="A11" s="17">
        <v>2001</v>
      </c>
      <c r="B11" s="17">
        <v>6</v>
      </c>
      <c r="C11" s="17" t="s">
        <v>46</v>
      </c>
      <c r="D11" s="16" t="s">
        <v>47</v>
      </c>
      <c r="E11" s="16" t="s">
        <v>24</v>
      </c>
      <c r="F11" s="16" t="s">
        <v>27</v>
      </c>
      <c r="G11" s="16">
        <v>96.06</v>
      </c>
      <c r="I11" s="20"/>
      <c r="J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.75" customHeight="1" x14ac:dyDescent="0.25">
      <c r="A12" s="17">
        <v>3512</v>
      </c>
      <c r="B12" s="17">
        <v>7</v>
      </c>
      <c r="C12" s="17" t="s">
        <v>14</v>
      </c>
      <c r="D12" s="16" t="s">
        <v>15</v>
      </c>
      <c r="E12" s="16" t="s">
        <v>18</v>
      </c>
      <c r="F12" s="16" t="s">
        <v>21</v>
      </c>
      <c r="G12" s="16">
        <v>78.44</v>
      </c>
      <c r="I12" s="20"/>
      <c r="J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15.75" customHeight="1" x14ac:dyDescent="0.25">
      <c r="A13" s="17">
        <v>4136</v>
      </c>
      <c r="B13" s="17">
        <v>8</v>
      </c>
      <c r="C13" s="17" t="s">
        <v>58</v>
      </c>
      <c r="D13" s="16" t="s">
        <v>59</v>
      </c>
      <c r="E13" s="16" t="s">
        <v>19</v>
      </c>
      <c r="F13" s="16" t="s">
        <v>20</v>
      </c>
      <c r="G13" s="16">
        <v>75.84</v>
      </c>
      <c r="I13" s="20"/>
      <c r="J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ht="15.75" customHeight="1" x14ac:dyDescent="0.25">
      <c r="A14" s="17">
        <v>5987</v>
      </c>
      <c r="B14" s="17">
        <v>9</v>
      </c>
      <c r="C14" s="17" t="s">
        <v>60</v>
      </c>
      <c r="D14" s="16" t="s">
        <v>61</v>
      </c>
      <c r="E14" s="16" t="s">
        <v>32</v>
      </c>
      <c r="F14" s="16" t="s">
        <v>34</v>
      </c>
      <c r="G14" s="16">
        <v>64.7</v>
      </c>
      <c r="I14" s="20"/>
      <c r="J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ht="15.75" customHeight="1" x14ac:dyDescent="0.25">
      <c r="A15" s="17">
        <v>6324</v>
      </c>
      <c r="B15" s="17">
        <v>10</v>
      </c>
      <c r="C15" s="17" t="s">
        <v>11</v>
      </c>
      <c r="D15" s="16" t="s">
        <v>12</v>
      </c>
      <c r="E15" s="16" t="s">
        <v>66</v>
      </c>
      <c r="F15" s="16" t="s">
        <v>17</v>
      </c>
      <c r="G15" s="16">
        <v>57.36</v>
      </c>
      <c r="I15" s="20"/>
      <c r="J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ht="15.75" customHeight="1" x14ac:dyDescent="0.25">
      <c r="A16" s="17">
        <v>4316</v>
      </c>
      <c r="B16" s="17">
        <v>11</v>
      </c>
      <c r="C16" s="17" t="s">
        <v>54</v>
      </c>
      <c r="D16" s="16" t="s">
        <v>41</v>
      </c>
      <c r="E16" s="16" t="s">
        <v>35</v>
      </c>
      <c r="F16" s="16" t="s">
        <v>36</v>
      </c>
      <c r="G16" s="16">
        <v>54.38</v>
      </c>
      <c r="I16" s="20"/>
      <c r="J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5.75" customHeight="1" x14ac:dyDescent="0.25">
      <c r="A17" s="17">
        <v>4229</v>
      </c>
      <c r="B17" s="17">
        <v>12</v>
      </c>
      <c r="C17" s="17" t="s">
        <v>64</v>
      </c>
      <c r="D17" s="16" t="s">
        <v>65</v>
      </c>
      <c r="E17" s="16" t="s">
        <v>19</v>
      </c>
      <c r="F17" s="16" t="s">
        <v>39</v>
      </c>
      <c r="G17" s="16">
        <v>54.26</v>
      </c>
      <c r="I17" s="20"/>
      <c r="J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5.75" customHeight="1" x14ac:dyDescent="0.25">
      <c r="A18" s="17">
        <v>6413</v>
      </c>
      <c r="B18" s="17">
        <v>13</v>
      </c>
      <c r="C18" s="17" t="s">
        <v>70</v>
      </c>
      <c r="D18" s="16" t="s">
        <v>71</v>
      </c>
      <c r="E18" s="16" t="s">
        <v>66</v>
      </c>
      <c r="F18" s="16" t="s">
        <v>17</v>
      </c>
      <c r="G18" s="16">
        <v>53.32</v>
      </c>
      <c r="I18" s="20"/>
      <c r="J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15.75" customHeight="1" x14ac:dyDescent="0.25">
      <c r="A19" s="17">
        <v>5982</v>
      </c>
      <c r="B19" s="17">
        <v>14</v>
      </c>
      <c r="C19" s="17" t="s">
        <v>55</v>
      </c>
      <c r="D19" s="16" t="s">
        <v>56</v>
      </c>
      <c r="E19" s="16" t="s">
        <v>32</v>
      </c>
      <c r="F19" s="16" t="s">
        <v>57</v>
      </c>
      <c r="G19" s="16">
        <v>53.22</v>
      </c>
      <c r="I19" s="20"/>
      <c r="J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.75" customHeight="1" x14ac:dyDescent="0.25">
      <c r="A20" s="17">
        <v>5946</v>
      </c>
      <c r="B20" s="17">
        <v>15</v>
      </c>
      <c r="C20" s="17" t="s">
        <v>75</v>
      </c>
      <c r="D20" s="16" t="s">
        <v>76</v>
      </c>
      <c r="E20" s="16" t="s">
        <v>32</v>
      </c>
      <c r="F20" s="16" t="s">
        <v>57</v>
      </c>
      <c r="G20" s="16">
        <v>51.7</v>
      </c>
      <c r="I20" s="20"/>
      <c r="J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.75" customHeight="1" x14ac:dyDescent="0.25">
      <c r="A21" s="17">
        <v>5981</v>
      </c>
      <c r="B21" s="17">
        <v>16</v>
      </c>
      <c r="C21" s="17" t="s">
        <v>72</v>
      </c>
      <c r="D21" s="16" t="s">
        <v>73</v>
      </c>
      <c r="E21" s="16" t="s">
        <v>32</v>
      </c>
      <c r="F21" s="16" t="s">
        <v>57</v>
      </c>
      <c r="G21" s="16">
        <v>51.14</v>
      </c>
      <c r="I21" s="20"/>
      <c r="J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.75" customHeight="1" x14ac:dyDescent="0.25">
      <c r="A22" s="17">
        <v>4341</v>
      </c>
      <c r="B22" s="17">
        <v>17</v>
      </c>
      <c r="C22" s="17" t="s">
        <v>43</v>
      </c>
      <c r="D22" s="16" t="s">
        <v>44</v>
      </c>
      <c r="E22" s="16" t="s">
        <v>35</v>
      </c>
      <c r="F22" s="16" t="s">
        <v>45</v>
      </c>
      <c r="G22" s="16">
        <v>51.12</v>
      </c>
      <c r="I22" s="20"/>
      <c r="J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.75" customHeight="1" x14ac:dyDescent="0.25">
      <c r="A23" s="17">
        <v>4118</v>
      </c>
      <c r="B23" s="17">
        <v>18</v>
      </c>
      <c r="C23" s="17" t="s">
        <v>62</v>
      </c>
      <c r="D23" s="16" t="s">
        <v>63</v>
      </c>
      <c r="E23" s="16" t="s">
        <v>19</v>
      </c>
      <c r="F23" s="16" t="s">
        <v>20</v>
      </c>
      <c r="G23" s="16">
        <v>47.06</v>
      </c>
      <c r="I23" s="20"/>
      <c r="J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.75" customHeight="1" x14ac:dyDescent="0.25">
      <c r="A24" s="17">
        <v>5990</v>
      </c>
      <c r="B24" s="17">
        <v>19</v>
      </c>
      <c r="C24" s="17" t="s">
        <v>79</v>
      </c>
      <c r="D24" s="16" t="s">
        <v>81</v>
      </c>
      <c r="E24" s="16" t="s">
        <v>32</v>
      </c>
      <c r="F24" s="16" t="s">
        <v>42</v>
      </c>
      <c r="G24" s="16">
        <v>37.74</v>
      </c>
      <c r="I24" s="20"/>
      <c r="J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 customHeight="1" x14ac:dyDescent="0.25">
      <c r="A25" s="17">
        <v>6407</v>
      </c>
      <c r="B25" s="17">
        <v>20</v>
      </c>
      <c r="C25" s="17" t="s">
        <v>80</v>
      </c>
      <c r="D25" s="16" t="s">
        <v>82</v>
      </c>
      <c r="E25" s="16" t="s">
        <v>66</v>
      </c>
      <c r="F25" s="16" t="s">
        <v>83</v>
      </c>
      <c r="G25" s="16">
        <v>30.42</v>
      </c>
      <c r="I25" s="20"/>
      <c r="J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.75" customHeight="1" x14ac:dyDescent="0.25">
      <c r="A26" s="17">
        <v>1772</v>
      </c>
      <c r="B26" s="17">
        <v>21</v>
      </c>
      <c r="C26" s="17" t="s">
        <v>68</v>
      </c>
      <c r="D26" s="16" t="s">
        <v>69</v>
      </c>
      <c r="E26" s="16" t="s">
        <v>26</v>
      </c>
      <c r="F26" s="16" t="s">
        <v>28</v>
      </c>
      <c r="G26" s="16">
        <v>29.28</v>
      </c>
      <c r="I26" s="20"/>
      <c r="J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.75" customHeight="1" x14ac:dyDescent="0.25">
      <c r="A27" s="17">
        <v>1800</v>
      </c>
      <c r="B27" s="17">
        <v>22</v>
      </c>
      <c r="C27" s="17" t="s">
        <v>22</v>
      </c>
      <c r="D27" s="16" t="s">
        <v>25</v>
      </c>
      <c r="E27" s="16" t="s">
        <v>26</v>
      </c>
      <c r="F27" s="16" t="s">
        <v>28</v>
      </c>
      <c r="G27" s="16">
        <v>27.7</v>
      </c>
      <c r="I27" s="20"/>
      <c r="J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 customHeight="1" x14ac:dyDescent="0.25">
      <c r="A28" s="17">
        <v>5986</v>
      </c>
      <c r="B28" s="17">
        <v>23</v>
      </c>
      <c r="C28" s="17" t="s">
        <v>85</v>
      </c>
      <c r="D28" s="16" t="s">
        <v>56</v>
      </c>
      <c r="E28" s="16" t="s">
        <v>32</v>
      </c>
      <c r="F28" s="16" t="s">
        <v>34</v>
      </c>
      <c r="G28" s="16">
        <v>26.64</v>
      </c>
      <c r="I28" s="20"/>
      <c r="J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.75" customHeight="1" x14ac:dyDescent="0.25">
      <c r="A29" s="17">
        <v>4319</v>
      </c>
      <c r="B29" s="17">
        <v>24</v>
      </c>
      <c r="C29" s="17" t="s">
        <v>91</v>
      </c>
      <c r="D29" s="16" t="s">
        <v>92</v>
      </c>
      <c r="E29" s="16" t="s">
        <v>35</v>
      </c>
      <c r="F29" s="16" t="s">
        <v>45</v>
      </c>
      <c r="G29" s="16">
        <v>24.5</v>
      </c>
      <c r="I29" s="20"/>
      <c r="J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.75" customHeight="1" x14ac:dyDescent="0.25">
      <c r="A30" s="17">
        <v>4337</v>
      </c>
      <c r="B30" s="17">
        <v>25</v>
      </c>
      <c r="C30" s="17" t="s">
        <v>31</v>
      </c>
      <c r="D30" s="16" t="s">
        <v>33</v>
      </c>
      <c r="E30" s="16" t="s">
        <v>35</v>
      </c>
      <c r="F30" s="16" t="s">
        <v>36</v>
      </c>
      <c r="G30" s="16">
        <v>24.22</v>
      </c>
      <c r="I30" s="20"/>
      <c r="J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.75" customHeight="1" x14ac:dyDescent="0.25">
      <c r="A31" s="17">
        <v>2843</v>
      </c>
      <c r="B31" s="17">
        <v>26</v>
      </c>
      <c r="C31" s="17" t="s">
        <v>86</v>
      </c>
      <c r="D31" s="16" t="s">
        <v>87</v>
      </c>
      <c r="E31" s="16" t="s">
        <v>88</v>
      </c>
      <c r="F31" s="16" t="s">
        <v>21</v>
      </c>
      <c r="G31" s="16">
        <v>22.66</v>
      </c>
      <c r="I31" s="20"/>
      <c r="J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.75" customHeight="1" x14ac:dyDescent="0.25">
      <c r="A32" s="17">
        <v>1831</v>
      </c>
      <c r="B32" s="17">
        <v>27</v>
      </c>
      <c r="C32" s="17" t="s">
        <v>52</v>
      </c>
      <c r="D32" s="16" t="s">
        <v>53</v>
      </c>
      <c r="E32" s="16" t="s">
        <v>26</v>
      </c>
      <c r="F32" s="16" t="s">
        <v>28</v>
      </c>
      <c r="G32" s="16">
        <v>18.46</v>
      </c>
      <c r="I32" s="20"/>
      <c r="J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5.75" customHeight="1" x14ac:dyDescent="0.25">
      <c r="A33" s="17">
        <v>6437</v>
      </c>
      <c r="B33" s="17">
        <v>28</v>
      </c>
      <c r="C33" s="17" t="s">
        <v>109</v>
      </c>
      <c r="D33" s="16" t="s">
        <v>111</v>
      </c>
      <c r="E33" s="16" t="s">
        <v>66</v>
      </c>
      <c r="F33" s="16" t="s">
        <v>83</v>
      </c>
      <c r="G33" s="16">
        <v>17.88</v>
      </c>
      <c r="I33" s="20"/>
      <c r="J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75" customHeight="1" x14ac:dyDescent="0.25">
      <c r="A34" s="17">
        <v>5992</v>
      </c>
      <c r="B34" s="17">
        <v>29</v>
      </c>
      <c r="C34" s="17" t="s">
        <v>77</v>
      </c>
      <c r="D34" s="16" t="s">
        <v>78</v>
      </c>
      <c r="E34" s="16" t="s">
        <v>32</v>
      </c>
      <c r="F34" s="16" t="s">
        <v>57</v>
      </c>
      <c r="G34" s="16">
        <v>17.04</v>
      </c>
      <c r="I34" s="20"/>
      <c r="J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.75" customHeight="1" x14ac:dyDescent="0.25">
      <c r="A35" s="17">
        <v>5995</v>
      </c>
      <c r="B35" s="17">
        <v>30</v>
      </c>
      <c r="C35" s="17" t="s">
        <v>40</v>
      </c>
      <c r="D35" s="16" t="s">
        <v>41</v>
      </c>
      <c r="E35" s="16" t="s">
        <v>32</v>
      </c>
      <c r="F35" s="16" t="s">
        <v>42</v>
      </c>
      <c r="G35" s="16">
        <v>15.32</v>
      </c>
      <c r="I35" s="20"/>
      <c r="J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5.75" customHeight="1" x14ac:dyDescent="0.25">
      <c r="A36" s="17">
        <v>4425</v>
      </c>
      <c r="B36" s="17">
        <v>31</v>
      </c>
      <c r="C36" s="17" t="s">
        <v>89</v>
      </c>
      <c r="D36" s="16" t="s">
        <v>90</v>
      </c>
      <c r="E36" s="16" t="s">
        <v>35</v>
      </c>
      <c r="F36" s="16" t="s">
        <v>45</v>
      </c>
      <c r="G36" s="16">
        <v>13.44</v>
      </c>
      <c r="I36" s="20"/>
      <c r="J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.75" customHeight="1" x14ac:dyDescent="0.25">
      <c r="A37" s="17">
        <v>1771</v>
      </c>
      <c r="B37" s="17">
        <v>32</v>
      </c>
      <c r="C37" s="17" t="s">
        <v>50</v>
      </c>
      <c r="D37" s="16" t="s">
        <v>51</v>
      </c>
      <c r="E37" s="16" t="s">
        <v>26</v>
      </c>
      <c r="F37" s="16" t="s">
        <v>28</v>
      </c>
      <c r="G37" s="16">
        <v>12.24</v>
      </c>
      <c r="I37" s="20"/>
      <c r="J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5.75" customHeight="1" x14ac:dyDescent="0.25">
      <c r="A38" s="22"/>
      <c r="B38" s="23"/>
      <c r="C38" s="20"/>
      <c r="D38" s="24"/>
      <c r="E38" s="24"/>
      <c r="F38" s="24"/>
      <c r="G38" s="24"/>
      <c r="H38" s="25"/>
      <c r="I38" s="20"/>
      <c r="J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x14ac:dyDescent="0.25">
      <c r="A39" s="26"/>
      <c r="B39" s="27"/>
      <c r="D39" s="28"/>
      <c r="E39" s="28"/>
      <c r="F39" s="28"/>
      <c r="G39" s="28"/>
      <c r="H39" s="28"/>
    </row>
    <row r="40" spans="1:24" ht="27" customHeight="1" x14ac:dyDescent="0.35">
      <c r="A40" s="8" t="s">
        <v>67</v>
      </c>
      <c r="B40" s="7"/>
      <c r="H40" s="4"/>
    </row>
    <row r="41" spans="1:24" x14ac:dyDescent="0.25">
      <c r="A41" s="13" t="s">
        <v>3</v>
      </c>
      <c r="B41" s="13" t="s">
        <v>4</v>
      </c>
      <c r="C41" s="14" t="s">
        <v>5</v>
      </c>
      <c r="D41" s="14" t="s">
        <v>6</v>
      </c>
      <c r="E41" s="14" t="s">
        <v>10</v>
      </c>
      <c r="F41" s="14" t="s">
        <v>7</v>
      </c>
      <c r="G41" s="14" t="s">
        <v>8</v>
      </c>
      <c r="I41" s="15"/>
      <c r="J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15.75" customHeight="1" x14ac:dyDescent="0.25">
      <c r="A42" s="31">
        <v>4307</v>
      </c>
      <c r="B42" s="17">
        <v>1</v>
      </c>
      <c r="C42" s="33" t="s">
        <v>126</v>
      </c>
      <c r="D42" s="33" t="s">
        <v>127</v>
      </c>
      <c r="E42" s="33" t="s">
        <v>35</v>
      </c>
      <c r="F42" s="33" t="s">
        <v>36</v>
      </c>
      <c r="G42" s="35">
        <v>199.48</v>
      </c>
      <c r="H42" s="25"/>
    </row>
    <row r="43" spans="1:24" ht="15.75" customHeight="1" x14ac:dyDescent="0.25">
      <c r="A43" s="31">
        <v>6361</v>
      </c>
      <c r="B43" s="17">
        <v>2</v>
      </c>
      <c r="C43" s="33" t="s">
        <v>128</v>
      </c>
      <c r="D43" s="33" t="s">
        <v>130</v>
      </c>
      <c r="E43" s="33" t="s">
        <v>66</v>
      </c>
      <c r="F43" s="33" t="s">
        <v>17</v>
      </c>
      <c r="G43" s="35">
        <v>155.63999999999999</v>
      </c>
      <c r="H43" s="20"/>
      <c r="I43" s="20"/>
      <c r="J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5.75" customHeight="1" x14ac:dyDescent="0.25">
      <c r="A44" s="31">
        <v>6427</v>
      </c>
      <c r="B44" s="17">
        <v>3</v>
      </c>
      <c r="C44" s="33" t="s">
        <v>129</v>
      </c>
      <c r="D44" s="33" t="s">
        <v>131</v>
      </c>
      <c r="E44" s="33" t="s">
        <v>66</v>
      </c>
      <c r="F44" s="33" t="s">
        <v>83</v>
      </c>
      <c r="G44" s="35">
        <v>114.14</v>
      </c>
      <c r="H44" s="36"/>
      <c r="I44" s="20"/>
      <c r="J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4" ht="15.75" customHeight="1" x14ac:dyDescent="0.25">
      <c r="A45" s="31">
        <v>3502</v>
      </c>
      <c r="B45" s="17">
        <v>4</v>
      </c>
      <c r="C45" s="33" t="s">
        <v>134</v>
      </c>
      <c r="D45" s="33" t="s">
        <v>135</v>
      </c>
      <c r="E45" s="33" t="s">
        <v>18</v>
      </c>
      <c r="F45" s="33" t="s">
        <v>21</v>
      </c>
      <c r="G45" s="35">
        <v>37.020000000000003</v>
      </c>
      <c r="H45" s="37"/>
      <c r="I45" s="20"/>
      <c r="J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15.75" customHeight="1" x14ac:dyDescent="0.25">
      <c r="A46" s="31">
        <v>4318</v>
      </c>
      <c r="B46" s="17">
        <v>5</v>
      </c>
      <c r="C46" s="33" t="s">
        <v>132</v>
      </c>
      <c r="D46" s="33" t="s">
        <v>133</v>
      </c>
      <c r="E46" s="33" t="s">
        <v>35</v>
      </c>
      <c r="F46" s="33" t="s">
        <v>39</v>
      </c>
      <c r="G46" s="35">
        <v>24.62</v>
      </c>
      <c r="H46" s="38"/>
      <c r="I46" s="20"/>
      <c r="J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25">
      <c r="A47" s="22"/>
      <c r="B47" s="39"/>
      <c r="C47" s="20"/>
      <c r="D47" s="40"/>
      <c r="E47" s="40"/>
      <c r="F47" s="40"/>
      <c r="G47" s="40"/>
      <c r="H47" s="41"/>
      <c r="I47" s="20"/>
      <c r="J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27" customHeight="1" x14ac:dyDescent="0.35">
      <c r="A48" s="8" t="s">
        <v>74</v>
      </c>
      <c r="B48" s="7"/>
      <c r="H48" s="4"/>
    </row>
    <row r="49" spans="1:24" x14ac:dyDescent="0.25">
      <c r="A49" s="13" t="s">
        <v>3</v>
      </c>
      <c r="B49" s="13" t="s">
        <v>4</v>
      </c>
      <c r="C49" s="14" t="s">
        <v>5</v>
      </c>
      <c r="D49" s="14" t="s">
        <v>6</v>
      </c>
      <c r="E49" s="14" t="s">
        <v>10</v>
      </c>
      <c r="F49" s="14" t="s">
        <v>7</v>
      </c>
      <c r="G49" s="14" t="s">
        <v>8</v>
      </c>
      <c r="I49" s="15"/>
      <c r="J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ht="15.75" customHeight="1" x14ac:dyDescent="0.25">
      <c r="A50" s="16">
        <v>5939</v>
      </c>
      <c r="B50" s="17">
        <v>1</v>
      </c>
      <c r="C50" s="16" t="s">
        <v>137</v>
      </c>
      <c r="D50" s="16" t="s">
        <v>87</v>
      </c>
      <c r="E50" s="16" t="s">
        <v>32</v>
      </c>
      <c r="F50" s="16" t="s">
        <v>42</v>
      </c>
      <c r="G50" s="16">
        <v>60.46</v>
      </c>
      <c r="H50" s="42"/>
    </row>
    <row r="51" spans="1:24" ht="15.75" customHeight="1" x14ac:dyDescent="0.25">
      <c r="A51" s="2">
        <v>2011</v>
      </c>
      <c r="B51" s="17">
        <v>2</v>
      </c>
      <c r="C51" s="16" t="s">
        <v>138</v>
      </c>
      <c r="D51" s="16" t="s">
        <v>47</v>
      </c>
      <c r="E51" s="16" t="s">
        <v>24</v>
      </c>
      <c r="F51" s="16" t="s">
        <v>42</v>
      </c>
      <c r="G51" s="16">
        <v>42.76</v>
      </c>
      <c r="H51" s="42"/>
      <c r="I51" s="20"/>
      <c r="J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.75" customHeight="1" x14ac:dyDescent="0.25">
      <c r="A52" s="16">
        <v>4311</v>
      </c>
      <c r="B52" s="17">
        <v>3</v>
      </c>
      <c r="C52" s="16" t="s">
        <v>139</v>
      </c>
      <c r="D52" s="16" t="s">
        <v>90</v>
      </c>
      <c r="E52" s="16" t="s">
        <v>35</v>
      </c>
      <c r="F52" s="16" t="s">
        <v>39</v>
      </c>
      <c r="G52" s="16">
        <v>10.34</v>
      </c>
      <c r="H52" s="42"/>
      <c r="I52" s="20"/>
      <c r="J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5.75" customHeight="1" x14ac:dyDescent="0.25">
      <c r="A53" s="2"/>
      <c r="B53" s="26"/>
      <c r="C53" s="2"/>
      <c r="D53" s="2"/>
      <c r="E53" s="2"/>
      <c r="F53" s="2"/>
      <c r="G53" s="2"/>
      <c r="H53" s="42"/>
      <c r="I53" s="20"/>
      <c r="J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5.75" customHeight="1" x14ac:dyDescent="0.25">
      <c r="A54" s="22"/>
      <c r="B54" s="1"/>
      <c r="C54" s="20"/>
      <c r="H54" s="4"/>
      <c r="I54" s="20"/>
      <c r="J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ht="27" customHeight="1" x14ac:dyDescent="0.35">
      <c r="A55" s="8" t="s">
        <v>84</v>
      </c>
      <c r="B55" s="7"/>
      <c r="E55" s="10"/>
      <c r="F55" s="11"/>
      <c r="G55" s="11"/>
      <c r="H55" s="4"/>
    </row>
    <row r="56" spans="1:24" x14ac:dyDescent="0.25">
      <c r="A56" s="13" t="s">
        <v>3</v>
      </c>
      <c r="B56" s="13" t="s">
        <v>4</v>
      </c>
      <c r="C56" s="14" t="s">
        <v>5</v>
      </c>
      <c r="D56" s="14" t="s">
        <v>6</v>
      </c>
      <c r="E56" s="14" t="s">
        <v>10</v>
      </c>
      <c r="F56" s="14" t="s">
        <v>7</v>
      </c>
      <c r="G56" s="14" t="s">
        <v>8</v>
      </c>
      <c r="I56" s="15"/>
      <c r="J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ht="15.75" customHeight="1" x14ac:dyDescent="0.25">
      <c r="A57" s="31">
        <v>6309</v>
      </c>
      <c r="B57" s="17">
        <v>1</v>
      </c>
      <c r="C57" s="31" t="s">
        <v>140</v>
      </c>
      <c r="D57" s="31" t="s">
        <v>141</v>
      </c>
      <c r="E57" s="31" t="s">
        <v>66</v>
      </c>
      <c r="F57" s="31" t="s">
        <v>142</v>
      </c>
      <c r="G57" s="31">
        <v>134.46</v>
      </c>
      <c r="H57" s="43"/>
    </row>
    <row r="58" spans="1:24" ht="15.75" customHeight="1" x14ac:dyDescent="0.25">
      <c r="A58" s="31">
        <v>4101</v>
      </c>
      <c r="B58" s="17">
        <v>2</v>
      </c>
      <c r="C58" s="31" t="s">
        <v>140</v>
      </c>
      <c r="D58" s="31" t="s">
        <v>144</v>
      </c>
      <c r="E58" s="31" t="s">
        <v>19</v>
      </c>
      <c r="F58" s="31" t="s">
        <v>20</v>
      </c>
      <c r="G58" s="31">
        <v>132.66</v>
      </c>
      <c r="H58" s="43"/>
      <c r="I58" s="20"/>
      <c r="J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15.75" customHeight="1" x14ac:dyDescent="0.25">
      <c r="A59" s="31">
        <v>6387</v>
      </c>
      <c r="B59" s="17">
        <v>3</v>
      </c>
      <c r="C59" s="31" t="s">
        <v>147</v>
      </c>
      <c r="D59" s="31" t="s">
        <v>149</v>
      </c>
      <c r="E59" s="31" t="s">
        <v>66</v>
      </c>
      <c r="F59" s="31" t="s">
        <v>142</v>
      </c>
      <c r="G59" s="31">
        <v>61.52</v>
      </c>
      <c r="H59" s="43"/>
      <c r="I59" s="4"/>
      <c r="J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5.75" customHeight="1" x14ac:dyDescent="0.25">
      <c r="A60" s="31">
        <v>6426</v>
      </c>
      <c r="B60" s="17">
        <v>4</v>
      </c>
      <c r="C60" s="31" t="s">
        <v>150</v>
      </c>
      <c r="D60" s="31" t="s">
        <v>153</v>
      </c>
      <c r="E60" s="31" t="s">
        <v>66</v>
      </c>
      <c r="F60" s="31" t="s">
        <v>83</v>
      </c>
      <c r="G60" s="31">
        <v>45.86</v>
      </c>
      <c r="H60" s="43"/>
      <c r="I60" s="4"/>
      <c r="J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ht="15.75" customHeight="1" x14ac:dyDescent="0.25">
      <c r="A61" s="31">
        <v>6312</v>
      </c>
      <c r="B61" s="17">
        <v>5</v>
      </c>
      <c r="C61" s="31" t="s">
        <v>148</v>
      </c>
      <c r="D61" s="31" t="s">
        <v>130</v>
      </c>
      <c r="E61" s="31" t="s">
        <v>66</v>
      </c>
      <c r="F61" s="31" t="s">
        <v>17</v>
      </c>
      <c r="G61" s="31">
        <v>42.06</v>
      </c>
      <c r="H61" s="43"/>
      <c r="I61" s="4"/>
      <c r="J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15.75" customHeight="1" x14ac:dyDescent="0.25">
      <c r="A62" s="31">
        <v>5521</v>
      </c>
      <c r="B62" s="17">
        <v>6</v>
      </c>
      <c r="C62" s="31" t="s">
        <v>143</v>
      </c>
      <c r="D62" s="31" t="s">
        <v>145</v>
      </c>
      <c r="E62" s="31" t="s">
        <v>146</v>
      </c>
      <c r="F62" s="31" t="s">
        <v>21</v>
      </c>
      <c r="G62" s="31">
        <v>41.18</v>
      </c>
      <c r="H62" s="43"/>
      <c r="I62" s="4"/>
      <c r="J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ht="15.75" customHeight="1" x14ac:dyDescent="0.25">
      <c r="A63" s="31">
        <v>4355</v>
      </c>
      <c r="B63" s="17">
        <v>7</v>
      </c>
      <c r="C63" s="31" t="s">
        <v>157</v>
      </c>
      <c r="D63" s="31" t="s">
        <v>158</v>
      </c>
      <c r="E63" s="31" t="s">
        <v>35</v>
      </c>
      <c r="F63" s="31" t="s">
        <v>45</v>
      </c>
      <c r="G63" s="31">
        <v>36.18</v>
      </c>
      <c r="H63" s="43"/>
      <c r="I63" s="4"/>
      <c r="J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15.75" customHeight="1" x14ac:dyDescent="0.25">
      <c r="A64" s="31">
        <v>6316</v>
      </c>
      <c r="B64" s="17">
        <v>8</v>
      </c>
      <c r="C64" s="31" t="s">
        <v>151</v>
      </c>
      <c r="D64" s="31" t="s">
        <v>152</v>
      </c>
      <c r="E64" s="31" t="s">
        <v>66</v>
      </c>
      <c r="F64" s="31" t="s">
        <v>154</v>
      </c>
      <c r="G64" s="31">
        <v>29.94</v>
      </c>
      <c r="H64" s="43"/>
      <c r="I64" s="4"/>
      <c r="J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ht="15.75" customHeight="1" x14ac:dyDescent="0.25">
      <c r="A65" s="31">
        <v>2028</v>
      </c>
      <c r="B65" s="17">
        <v>9</v>
      </c>
      <c r="C65" s="31" t="s">
        <v>161</v>
      </c>
      <c r="D65" s="31" t="s">
        <v>162</v>
      </c>
      <c r="E65" s="31" t="s">
        <v>66</v>
      </c>
      <c r="F65" s="31" t="s">
        <v>142</v>
      </c>
      <c r="G65" s="31">
        <v>27.54</v>
      </c>
      <c r="H65" s="43"/>
      <c r="I65" s="4"/>
      <c r="J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5.75" customHeight="1" x14ac:dyDescent="0.25">
      <c r="A66" s="31">
        <v>2008</v>
      </c>
      <c r="B66" s="17">
        <v>10</v>
      </c>
      <c r="C66" s="31" t="s">
        <v>159</v>
      </c>
      <c r="D66" s="31" t="s">
        <v>160</v>
      </c>
      <c r="E66" s="31" t="s">
        <v>24</v>
      </c>
      <c r="F66" s="31" t="s">
        <v>27</v>
      </c>
      <c r="G66" s="31">
        <v>21.92</v>
      </c>
      <c r="H66" s="43"/>
      <c r="I66" s="4"/>
      <c r="J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5.75" customHeight="1" x14ac:dyDescent="0.25">
      <c r="A67" s="31">
        <v>5993</v>
      </c>
      <c r="B67" s="17">
        <v>11</v>
      </c>
      <c r="C67" s="31" t="s">
        <v>165</v>
      </c>
      <c r="D67" s="31" t="s">
        <v>166</v>
      </c>
      <c r="E67" s="31" t="s">
        <v>32</v>
      </c>
      <c r="F67" s="31" t="s">
        <v>42</v>
      </c>
      <c r="G67" s="31">
        <v>18.78</v>
      </c>
      <c r="H67" s="43"/>
      <c r="I67" s="4"/>
      <c r="J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5.75" customHeight="1" x14ac:dyDescent="0.25">
      <c r="A68" s="31">
        <v>6302</v>
      </c>
      <c r="B68" s="17">
        <v>12</v>
      </c>
      <c r="C68" s="31" t="s">
        <v>163</v>
      </c>
      <c r="D68" s="31" t="s">
        <v>164</v>
      </c>
      <c r="E68" s="31" t="s">
        <v>66</v>
      </c>
      <c r="F68" s="31" t="s">
        <v>142</v>
      </c>
      <c r="G68" s="31">
        <v>16.64</v>
      </c>
      <c r="H68" s="43"/>
      <c r="I68" s="4"/>
      <c r="J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5.75" customHeight="1" x14ac:dyDescent="0.25">
      <c r="A69" s="45">
        <v>4344</v>
      </c>
      <c r="B69" s="17">
        <v>13</v>
      </c>
      <c r="C69" s="45" t="s">
        <v>155</v>
      </c>
      <c r="D69" s="46" t="s">
        <v>156</v>
      </c>
      <c r="E69" s="46" t="s">
        <v>35</v>
      </c>
      <c r="F69" s="46" t="s">
        <v>36</v>
      </c>
      <c r="G69" s="45">
        <v>8.92</v>
      </c>
      <c r="H69" s="10"/>
      <c r="I69" s="4"/>
      <c r="J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15.75" customHeight="1" x14ac:dyDescent="0.25">
      <c r="A70" s="26"/>
      <c r="B70" s="26"/>
    </row>
    <row r="71" spans="1:24" ht="27" customHeight="1" x14ac:dyDescent="0.35">
      <c r="A71" s="7"/>
      <c r="B71" s="8" t="s">
        <v>7</v>
      </c>
      <c r="C71" s="9"/>
      <c r="E71" s="10"/>
      <c r="F71" s="11"/>
      <c r="G71" s="11"/>
      <c r="H71" s="4"/>
    </row>
    <row r="72" spans="1:24" ht="15.75" customHeight="1" x14ac:dyDescent="0.25">
      <c r="A72" s="13" t="s">
        <v>167</v>
      </c>
      <c r="B72" s="13" t="s">
        <v>3</v>
      </c>
      <c r="C72" s="14" t="s">
        <v>5</v>
      </c>
      <c r="D72" s="14" t="s">
        <v>6</v>
      </c>
      <c r="E72" s="14"/>
      <c r="F72" s="14" t="s">
        <v>7</v>
      </c>
      <c r="G72" s="14" t="s">
        <v>168</v>
      </c>
      <c r="I72" s="15"/>
      <c r="J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ht="15.75" customHeight="1" x14ac:dyDescent="0.25">
      <c r="A73" s="16"/>
      <c r="B73" s="34">
        <v>4101</v>
      </c>
      <c r="C73" s="33" t="s">
        <v>140</v>
      </c>
      <c r="D73" s="33" t="s">
        <v>144</v>
      </c>
      <c r="E73" s="33"/>
      <c r="F73" s="33" t="s">
        <v>20</v>
      </c>
      <c r="G73" s="35">
        <v>132.66</v>
      </c>
      <c r="H73" s="25"/>
    </row>
    <row r="74" spans="1:24" ht="15.75" customHeight="1" x14ac:dyDescent="0.25">
      <c r="A74" s="47"/>
      <c r="B74" s="34">
        <v>4118</v>
      </c>
      <c r="C74" s="33" t="s">
        <v>62</v>
      </c>
      <c r="D74" s="33" t="s">
        <v>63</v>
      </c>
      <c r="E74" s="33"/>
      <c r="F74" s="33" t="s">
        <v>20</v>
      </c>
      <c r="G74" s="35">
        <v>47.06</v>
      </c>
      <c r="H74" s="25"/>
    </row>
    <row r="75" spans="1:24" ht="15.75" customHeight="1" x14ac:dyDescent="0.25">
      <c r="A75" s="47"/>
      <c r="B75" s="34">
        <v>4136</v>
      </c>
      <c r="C75" s="33" t="s">
        <v>58</v>
      </c>
      <c r="D75" s="33" t="s">
        <v>59</v>
      </c>
      <c r="E75" s="33"/>
      <c r="F75" s="33" t="s">
        <v>20</v>
      </c>
      <c r="G75" s="35">
        <v>75.84</v>
      </c>
      <c r="H75" s="25"/>
    </row>
    <row r="76" spans="1:24" ht="16.5" customHeight="1" x14ac:dyDescent="0.25">
      <c r="A76" s="47"/>
      <c r="B76" s="34">
        <v>4164</v>
      </c>
      <c r="C76" s="33" t="s">
        <v>13</v>
      </c>
      <c r="D76" s="33" t="s">
        <v>16</v>
      </c>
      <c r="E76" s="33"/>
      <c r="F76" s="33" t="s">
        <v>20</v>
      </c>
      <c r="G76" s="35">
        <v>162.68</v>
      </c>
      <c r="H76" s="25"/>
    </row>
    <row r="77" spans="1:24" ht="16.5" customHeight="1" x14ac:dyDescent="0.25">
      <c r="A77" s="47">
        <v>1</v>
      </c>
      <c r="B77" s="16"/>
      <c r="C77" s="16"/>
      <c r="D77" s="16"/>
      <c r="E77" s="49"/>
      <c r="F77" s="49" t="s">
        <v>169</v>
      </c>
      <c r="G77" s="50">
        <f>SUM(G73:G76)</f>
        <v>418.24</v>
      </c>
      <c r="H77" s="51"/>
    </row>
    <row r="78" spans="1:24" ht="15.75" customHeight="1" x14ac:dyDescent="0.25">
      <c r="A78" s="17"/>
      <c r="B78" s="34">
        <v>5969</v>
      </c>
      <c r="C78" s="33" t="s">
        <v>48</v>
      </c>
      <c r="D78" s="33" t="s">
        <v>49</v>
      </c>
      <c r="E78" s="33"/>
      <c r="F78" s="33" t="s">
        <v>34</v>
      </c>
      <c r="G78" s="35">
        <v>113.96</v>
      </c>
    </row>
    <row r="79" spans="1:24" ht="15.75" customHeight="1" x14ac:dyDescent="0.25">
      <c r="A79" s="16"/>
      <c r="B79" s="34">
        <v>5978</v>
      </c>
      <c r="C79" s="33" t="s">
        <v>29</v>
      </c>
      <c r="D79" s="33" t="s">
        <v>30</v>
      </c>
      <c r="E79" s="33"/>
      <c r="F79" s="33" t="s">
        <v>34</v>
      </c>
      <c r="G79" s="35">
        <v>130.26</v>
      </c>
    </row>
    <row r="80" spans="1:24" ht="15.75" customHeight="1" x14ac:dyDescent="0.25">
      <c r="A80" s="16"/>
      <c r="B80" s="34">
        <v>5986</v>
      </c>
      <c r="C80" s="33" t="s">
        <v>85</v>
      </c>
      <c r="D80" s="33" t="s">
        <v>56</v>
      </c>
      <c r="E80" s="33"/>
      <c r="F80" s="33" t="s">
        <v>34</v>
      </c>
      <c r="G80" s="35">
        <v>26.64</v>
      </c>
    </row>
    <row r="81" spans="1:7" ht="15.75" customHeight="1" x14ac:dyDescent="0.25">
      <c r="A81" s="16"/>
      <c r="B81" s="34">
        <v>5987</v>
      </c>
      <c r="C81" s="33" t="s">
        <v>60</v>
      </c>
      <c r="D81" s="33" t="s">
        <v>61</v>
      </c>
      <c r="E81" s="33"/>
      <c r="F81" s="33" t="s">
        <v>34</v>
      </c>
      <c r="G81" s="35">
        <v>64.7</v>
      </c>
    </row>
    <row r="82" spans="1:7" ht="15.75" customHeight="1" x14ac:dyDescent="0.25">
      <c r="A82" s="47">
        <v>2</v>
      </c>
      <c r="B82" s="16"/>
      <c r="C82" s="33"/>
      <c r="D82" s="33"/>
      <c r="E82" s="48"/>
      <c r="F82" s="48" t="s">
        <v>169</v>
      </c>
      <c r="G82" s="50">
        <f>SUM(G78:G81)</f>
        <v>335.55999999999995</v>
      </c>
    </row>
    <row r="83" spans="1:7" ht="15.75" customHeight="1" x14ac:dyDescent="0.25">
      <c r="A83" s="16"/>
      <c r="B83" s="34">
        <v>2000</v>
      </c>
      <c r="C83" s="33" t="s">
        <v>22</v>
      </c>
      <c r="D83" s="33" t="s">
        <v>23</v>
      </c>
      <c r="E83" s="33"/>
      <c r="F83" s="33" t="s">
        <v>27</v>
      </c>
      <c r="G83" s="35">
        <v>152.54</v>
      </c>
    </row>
    <row r="84" spans="1:7" ht="15.75" customHeight="1" x14ac:dyDescent="0.25">
      <c r="A84" s="16"/>
      <c r="B84" s="34">
        <v>2001</v>
      </c>
      <c r="C84" s="33" t="s">
        <v>46</v>
      </c>
      <c r="D84" s="33" t="s">
        <v>47</v>
      </c>
      <c r="E84" s="33"/>
      <c r="F84" s="33" t="s">
        <v>27</v>
      </c>
      <c r="G84" s="35">
        <v>96.06</v>
      </c>
    </row>
    <row r="85" spans="1:7" ht="15.75" customHeight="1" x14ac:dyDescent="0.25">
      <c r="A85" s="16"/>
      <c r="B85" s="34">
        <v>2008</v>
      </c>
      <c r="C85" s="33" t="s">
        <v>159</v>
      </c>
      <c r="D85" s="33" t="s">
        <v>160</v>
      </c>
      <c r="E85" s="33"/>
      <c r="F85" s="33" t="s">
        <v>27</v>
      </c>
      <c r="G85" s="35">
        <v>21.92</v>
      </c>
    </row>
    <row r="86" spans="1:7" ht="15.75" customHeight="1" x14ac:dyDescent="0.25">
      <c r="A86" s="16"/>
      <c r="B86" s="34">
        <v>2011</v>
      </c>
      <c r="C86" s="33" t="s">
        <v>136</v>
      </c>
      <c r="D86" s="33" t="s">
        <v>47</v>
      </c>
      <c r="E86" s="33"/>
      <c r="F86" s="33" t="s">
        <v>27</v>
      </c>
      <c r="G86" s="35">
        <v>42.76</v>
      </c>
    </row>
    <row r="87" spans="1:7" ht="15.75" customHeight="1" x14ac:dyDescent="0.25">
      <c r="A87" s="47">
        <v>3</v>
      </c>
      <c r="B87" s="16"/>
      <c r="C87" s="33"/>
      <c r="D87" s="33"/>
      <c r="E87" s="49"/>
      <c r="F87" s="49" t="s">
        <v>169</v>
      </c>
      <c r="G87" s="50">
        <f>SUM(G83:G86)</f>
        <v>313.27999999999997</v>
      </c>
    </row>
    <row r="88" spans="1:7" ht="15.75" customHeight="1" x14ac:dyDescent="0.25">
      <c r="A88" s="16"/>
      <c r="B88" s="34">
        <v>6312</v>
      </c>
      <c r="C88" s="33" t="s">
        <v>148</v>
      </c>
      <c r="D88" s="33" t="s">
        <v>130</v>
      </c>
      <c r="E88" s="33"/>
      <c r="F88" s="33" t="s">
        <v>17</v>
      </c>
      <c r="G88" s="35">
        <v>42.06</v>
      </c>
    </row>
    <row r="89" spans="1:7" ht="15.75" customHeight="1" x14ac:dyDescent="0.25">
      <c r="A89" s="16"/>
      <c r="B89" s="34">
        <v>6324</v>
      </c>
      <c r="C89" s="33" t="s">
        <v>11</v>
      </c>
      <c r="D89" s="33" t="s">
        <v>12</v>
      </c>
      <c r="E89" s="33"/>
      <c r="F89" s="33" t="s">
        <v>17</v>
      </c>
      <c r="G89" s="35">
        <v>57.36</v>
      </c>
    </row>
    <row r="90" spans="1:7" ht="15.75" customHeight="1" x14ac:dyDescent="0.25">
      <c r="A90" s="16"/>
      <c r="B90" s="34">
        <v>6361</v>
      </c>
      <c r="C90" s="33" t="s">
        <v>128</v>
      </c>
      <c r="D90" s="33" t="s">
        <v>130</v>
      </c>
      <c r="E90" s="33"/>
      <c r="F90" s="33" t="s">
        <v>17</v>
      </c>
      <c r="G90" s="35">
        <v>155.63999999999999</v>
      </c>
    </row>
    <row r="91" spans="1:7" ht="15.75" customHeight="1" x14ac:dyDescent="0.25">
      <c r="A91" s="16"/>
      <c r="B91" s="34">
        <v>6413</v>
      </c>
      <c r="C91" s="33" t="s">
        <v>70</v>
      </c>
      <c r="D91" s="33" t="s">
        <v>71</v>
      </c>
      <c r="E91" s="33"/>
      <c r="F91" s="33" t="s">
        <v>17</v>
      </c>
      <c r="G91" s="35">
        <v>53.32</v>
      </c>
    </row>
    <row r="92" spans="1:7" ht="15.75" customHeight="1" x14ac:dyDescent="0.25">
      <c r="A92" s="52">
        <v>4</v>
      </c>
      <c r="B92" s="16"/>
      <c r="C92" s="33"/>
      <c r="D92" s="33"/>
      <c r="E92" s="48"/>
      <c r="F92" s="48" t="s">
        <v>169</v>
      </c>
      <c r="G92" s="50">
        <f>SUM(G88:G91)</f>
        <v>308.38</v>
      </c>
    </row>
    <row r="93" spans="1:7" ht="15.75" customHeight="1" x14ac:dyDescent="0.25">
      <c r="A93" s="16"/>
      <c r="B93" s="34">
        <v>4307</v>
      </c>
      <c r="C93" s="33" t="s">
        <v>126</v>
      </c>
      <c r="D93" s="33" t="s">
        <v>127</v>
      </c>
      <c r="E93" s="33"/>
      <c r="F93" s="33" t="s">
        <v>36</v>
      </c>
      <c r="G93" s="35">
        <v>199.48</v>
      </c>
    </row>
    <row r="94" spans="1:7" ht="15.75" customHeight="1" x14ac:dyDescent="0.25">
      <c r="A94" s="16"/>
      <c r="B94" s="34">
        <v>4316</v>
      </c>
      <c r="C94" s="33" t="s">
        <v>54</v>
      </c>
      <c r="D94" s="33" t="s">
        <v>41</v>
      </c>
      <c r="E94" s="33"/>
      <c r="F94" s="33" t="s">
        <v>36</v>
      </c>
      <c r="G94" s="35">
        <v>54.38</v>
      </c>
    </row>
    <row r="95" spans="1:7" ht="15.75" customHeight="1" x14ac:dyDescent="0.25">
      <c r="A95" s="16"/>
      <c r="B95" s="34">
        <v>4337</v>
      </c>
      <c r="C95" s="33" t="s">
        <v>31</v>
      </c>
      <c r="D95" s="33" t="s">
        <v>33</v>
      </c>
      <c r="E95" s="33"/>
      <c r="F95" s="33" t="s">
        <v>36</v>
      </c>
      <c r="G95" s="35">
        <v>24.22</v>
      </c>
    </row>
    <row r="96" spans="1:7" ht="15.75" customHeight="1" x14ac:dyDescent="0.25">
      <c r="A96" s="16"/>
      <c r="B96" s="34">
        <v>4344</v>
      </c>
      <c r="C96" s="33" t="s">
        <v>155</v>
      </c>
      <c r="D96" s="33" t="s">
        <v>156</v>
      </c>
      <c r="E96" s="33"/>
      <c r="F96" s="33" t="s">
        <v>36</v>
      </c>
      <c r="G96" s="35">
        <v>8.92</v>
      </c>
    </row>
    <row r="97" spans="1:7" ht="15.75" customHeight="1" x14ac:dyDescent="0.25">
      <c r="A97" s="47">
        <v>5</v>
      </c>
      <c r="B97" s="16"/>
      <c r="C97" s="33"/>
      <c r="D97" s="33"/>
      <c r="E97" s="48"/>
      <c r="F97" s="48" t="s">
        <v>169</v>
      </c>
      <c r="G97" s="50">
        <f>SUM(G93:G96)</f>
        <v>287</v>
      </c>
    </row>
    <row r="98" spans="1:7" ht="15.75" customHeight="1" x14ac:dyDescent="0.25">
      <c r="A98" s="16"/>
      <c r="B98" s="34">
        <v>2028</v>
      </c>
      <c r="C98" s="33" t="s">
        <v>161</v>
      </c>
      <c r="D98" s="33" t="s">
        <v>162</v>
      </c>
      <c r="E98" s="33"/>
      <c r="F98" s="33" t="s">
        <v>142</v>
      </c>
      <c r="G98" s="35">
        <v>27.54</v>
      </c>
    </row>
    <row r="99" spans="1:7" ht="15.75" customHeight="1" x14ac:dyDescent="0.25">
      <c r="A99" s="16"/>
      <c r="B99" s="34">
        <v>6302</v>
      </c>
      <c r="C99" s="33" t="s">
        <v>163</v>
      </c>
      <c r="D99" s="33" t="s">
        <v>164</v>
      </c>
      <c r="E99" s="33"/>
      <c r="F99" s="33" t="s">
        <v>142</v>
      </c>
      <c r="G99" s="35">
        <v>16.64</v>
      </c>
    </row>
    <row r="100" spans="1:7" ht="15.75" customHeight="1" x14ac:dyDescent="0.25">
      <c r="A100" s="16"/>
      <c r="B100" s="34">
        <v>6309</v>
      </c>
      <c r="C100" s="33" t="s">
        <v>140</v>
      </c>
      <c r="D100" s="33" t="s">
        <v>141</v>
      </c>
      <c r="E100" s="33"/>
      <c r="F100" s="33" t="s">
        <v>142</v>
      </c>
      <c r="G100" s="35">
        <v>134.46</v>
      </c>
    </row>
    <row r="101" spans="1:7" ht="15.75" customHeight="1" x14ac:dyDescent="0.25">
      <c r="A101" s="16"/>
      <c r="B101" s="34">
        <v>6387</v>
      </c>
      <c r="C101" s="33" t="s">
        <v>147</v>
      </c>
      <c r="D101" s="33" t="s">
        <v>149</v>
      </c>
      <c r="E101" s="33"/>
      <c r="F101" s="33" t="s">
        <v>142</v>
      </c>
      <c r="G101" s="35">
        <v>61.52</v>
      </c>
    </row>
    <row r="102" spans="1:7" ht="15.75" customHeight="1" x14ac:dyDescent="0.25">
      <c r="A102" s="47">
        <v>6</v>
      </c>
      <c r="B102" s="16"/>
      <c r="C102" s="33"/>
      <c r="D102" s="33"/>
      <c r="E102" s="48"/>
      <c r="F102" s="48" t="s">
        <v>169</v>
      </c>
      <c r="G102" s="50">
        <f>SUM(G98:G101)</f>
        <v>240.16000000000003</v>
      </c>
    </row>
    <row r="103" spans="1:7" ht="15.75" customHeight="1" x14ac:dyDescent="0.25">
      <c r="A103" s="16"/>
      <c r="B103" s="34">
        <v>4318</v>
      </c>
      <c r="C103" s="33" t="s">
        <v>132</v>
      </c>
      <c r="D103" s="33" t="s">
        <v>133</v>
      </c>
      <c r="E103" s="33"/>
      <c r="F103" s="33" t="s">
        <v>39</v>
      </c>
      <c r="G103" s="35">
        <v>24.62</v>
      </c>
    </row>
    <row r="104" spans="1:7" ht="15.75" customHeight="1" x14ac:dyDescent="0.25">
      <c r="A104" s="16"/>
      <c r="B104" s="34">
        <v>4152</v>
      </c>
      <c r="C104" s="33" t="s">
        <v>37</v>
      </c>
      <c r="D104" s="33" t="s">
        <v>38</v>
      </c>
      <c r="E104" s="33"/>
      <c r="F104" s="33" t="s">
        <v>39</v>
      </c>
      <c r="G104" s="35">
        <v>119.1</v>
      </c>
    </row>
    <row r="105" spans="1:7" ht="15.75" customHeight="1" x14ac:dyDescent="0.25">
      <c r="A105" s="16"/>
      <c r="B105" s="34">
        <v>4229</v>
      </c>
      <c r="C105" s="33" t="s">
        <v>64</v>
      </c>
      <c r="D105" s="33" t="s">
        <v>65</v>
      </c>
      <c r="E105" s="33"/>
      <c r="F105" s="33" t="s">
        <v>39</v>
      </c>
      <c r="G105" s="35">
        <v>54.26</v>
      </c>
    </row>
    <row r="106" spans="1:7" ht="15.75" customHeight="1" x14ac:dyDescent="0.25">
      <c r="A106" s="16"/>
      <c r="B106" s="34">
        <v>4311</v>
      </c>
      <c r="C106" s="33" t="s">
        <v>139</v>
      </c>
      <c r="D106" s="33" t="s">
        <v>90</v>
      </c>
      <c r="E106" s="33"/>
      <c r="F106" s="33" t="s">
        <v>39</v>
      </c>
      <c r="G106" s="35">
        <v>10.34</v>
      </c>
    </row>
    <row r="107" spans="1:7" ht="15.75" customHeight="1" x14ac:dyDescent="0.25">
      <c r="A107" s="47">
        <v>7</v>
      </c>
      <c r="B107" s="16"/>
      <c r="C107" s="33"/>
      <c r="D107" s="33"/>
      <c r="E107" s="48"/>
      <c r="F107" s="48" t="s">
        <v>169</v>
      </c>
      <c r="G107" s="50">
        <f>SUM(G103:G106)</f>
        <v>208.32</v>
      </c>
    </row>
    <row r="108" spans="1:7" ht="15.75" customHeight="1" x14ac:dyDescent="0.25">
      <c r="A108" s="16"/>
      <c r="B108" s="34">
        <v>6407</v>
      </c>
      <c r="C108" s="33" t="s">
        <v>80</v>
      </c>
      <c r="D108" s="33" t="s">
        <v>82</v>
      </c>
      <c r="E108" s="33"/>
      <c r="F108" s="33" t="s">
        <v>83</v>
      </c>
      <c r="G108" s="35">
        <v>30.42</v>
      </c>
    </row>
    <row r="109" spans="1:7" ht="15.75" customHeight="1" x14ac:dyDescent="0.25">
      <c r="A109" s="16"/>
      <c r="B109" s="34">
        <v>6426</v>
      </c>
      <c r="C109" s="33" t="s">
        <v>150</v>
      </c>
      <c r="D109" s="33" t="s">
        <v>153</v>
      </c>
      <c r="E109" s="33"/>
      <c r="F109" s="33" t="s">
        <v>83</v>
      </c>
      <c r="G109" s="35">
        <v>45.86</v>
      </c>
    </row>
    <row r="110" spans="1:7" ht="15.75" customHeight="1" x14ac:dyDescent="0.25">
      <c r="A110" s="16"/>
      <c r="B110" s="34">
        <v>6427</v>
      </c>
      <c r="C110" s="33" t="s">
        <v>129</v>
      </c>
      <c r="D110" s="33" t="s">
        <v>131</v>
      </c>
      <c r="E110" s="33"/>
      <c r="F110" s="33" t="s">
        <v>83</v>
      </c>
      <c r="G110" s="35">
        <v>114.14</v>
      </c>
    </row>
    <row r="111" spans="1:7" ht="15.75" customHeight="1" x14ac:dyDescent="0.25">
      <c r="A111" s="16"/>
      <c r="B111" s="34">
        <v>6437</v>
      </c>
      <c r="C111" s="33" t="s">
        <v>109</v>
      </c>
      <c r="D111" s="33" t="s">
        <v>111</v>
      </c>
      <c r="E111" s="33"/>
      <c r="F111" s="33" t="s">
        <v>83</v>
      </c>
      <c r="G111" s="35">
        <v>17.88</v>
      </c>
    </row>
    <row r="112" spans="1:7" ht="15.75" customHeight="1" x14ac:dyDescent="0.25">
      <c r="A112" s="53">
        <v>8</v>
      </c>
      <c r="B112" s="16"/>
      <c r="C112" s="33"/>
      <c r="D112" s="33"/>
      <c r="E112" s="48"/>
      <c r="F112" s="48" t="s">
        <v>169</v>
      </c>
      <c r="G112" s="50">
        <f>SUM(G108:G111)</f>
        <v>208.3</v>
      </c>
    </row>
    <row r="113" spans="1:7" ht="15.75" customHeight="1" x14ac:dyDescent="0.25">
      <c r="A113" s="16"/>
      <c r="B113" s="34">
        <v>3502</v>
      </c>
      <c r="C113" s="33" t="s">
        <v>134</v>
      </c>
      <c r="D113" s="33" t="s">
        <v>135</v>
      </c>
      <c r="E113" s="33"/>
      <c r="F113" s="33" t="s">
        <v>21</v>
      </c>
      <c r="G113" s="35">
        <v>37.020000000000003</v>
      </c>
    </row>
    <row r="114" spans="1:7" ht="15.75" customHeight="1" x14ac:dyDescent="0.25">
      <c r="A114" s="16"/>
      <c r="B114" s="34">
        <v>3512</v>
      </c>
      <c r="C114" s="33" t="s">
        <v>14</v>
      </c>
      <c r="D114" s="33" t="s">
        <v>15</v>
      </c>
      <c r="E114" s="33"/>
      <c r="F114" s="33" t="s">
        <v>21</v>
      </c>
      <c r="G114" s="35">
        <v>78.44</v>
      </c>
    </row>
    <row r="115" spans="1:7" ht="15.75" customHeight="1" x14ac:dyDescent="0.25">
      <c r="A115" s="16"/>
      <c r="B115" s="34">
        <v>5521</v>
      </c>
      <c r="C115" s="33" t="s">
        <v>143</v>
      </c>
      <c r="D115" s="33" t="s">
        <v>145</v>
      </c>
      <c r="E115" s="33"/>
      <c r="F115" s="33" t="s">
        <v>21</v>
      </c>
      <c r="G115" s="35">
        <v>41.18</v>
      </c>
    </row>
    <row r="116" spans="1:7" ht="15.75" customHeight="1" x14ac:dyDescent="0.25">
      <c r="A116" s="16"/>
      <c r="B116" s="34">
        <v>2843</v>
      </c>
      <c r="C116" s="33" t="s">
        <v>86</v>
      </c>
      <c r="D116" s="33" t="s">
        <v>87</v>
      </c>
      <c r="E116" s="33"/>
      <c r="F116" s="33" t="s">
        <v>21</v>
      </c>
      <c r="G116" s="35">
        <v>22.66</v>
      </c>
    </row>
    <row r="117" spans="1:7" ht="15.75" customHeight="1" x14ac:dyDescent="0.25">
      <c r="A117" s="53">
        <v>9</v>
      </c>
      <c r="B117" s="47"/>
      <c r="C117" s="33"/>
      <c r="D117" s="33"/>
      <c r="E117" s="48"/>
      <c r="F117" s="48" t="s">
        <v>169</v>
      </c>
      <c r="G117" s="50">
        <f>SUM(G113:G116)</f>
        <v>179.3</v>
      </c>
    </row>
    <row r="118" spans="1:7" ht="15.75" customHeight="1" x14ac:dyDescent="0.25">
      <c r="A118" s="16"/>
      <c r="B118" s="34">
        <v>5946</v>
      </c>
      <c r="C118" s="33" t="s">
        <v>75</v>
      </c>
      <c r="D118" s="33" t="s">
        <v>76</v>
      </c>
      <c r="E118" s="33"/>
      <c r="F118" s="33" t="s">
        <v>57</v>
      </c>
      <c r="G118" s="35">
        <v>51.7</v>
      </c>
    </row>
    <row r="119" spans="1:7" ht="15.75" customHeight="1" x14ac:dyDescent="0.25">
      <c r="A119" s="16"/>
      <c r="B119" s="34">
        <v>5981</v>
      </c>
      <c r="C119" s="33" t="s">
        <v>72</v>
      </c>
      <c r="D119" s="33" t="s">
        <v>73</v>
      </c>
      <c r="E119" s="33"/>
      <c r="F119" s="33" t="s">
        <v>57</v>
      </c>
      <c r="G119" s="35">
        <v>51.14</v>
      </c>
    </row>
    <row r="120" spans="1:7" ht="15.75" customHeight="1" x14ac:dyDescent="0.25">
      <c r="A120" s="16"/>
      <c r="B120" s="34">
        <v>5982</v>
      </c>
      <c r="C120" s="33" t="s">
        <v>55</v>
      </c>
      <c r="D120" s="33" t="s">
        <v>56</v>
      </c>
      <c r="E120" s="33"/>
      <c r="F120" s="33" t="s">
        <v>57</v>
      </c>
      <c r="G120" s="35">
        <v>53.22</v>
      </c>
    </row>
    <row r="121" spans="1:7" ht="15.75" customHeight="1" x14ac:dyDescent="0.25">
      <c r="A121" s="16"/>
      <c r="B121" s="34">
        <v>5992</v>
      </c>
      <c r="C121" s="33" t="s">
        <v>77</v>
      </c>
      <c r="D121" s="33" t="s">
        <v>78</v>
      </c>
      <c r="E121" s="33"/>
      <c r="F121" s="33" t="s">
        <v>57</v>
      </c>
      <c r="G121" s="35">
        <v>17.04</v>
      </c>
    </row>
    <row r="122" spans="1:7" ht="15.75" customHeight="1" x14ac:dyDescent="0.25">
      <c r="A122" s="47">
        <v>10</v>
      </c>
      <c r="B122" s="34"/>
      <c r="C122" s="33"/>
      <c r="D122" s="33"/>
      <c r="E122" s="48"/>
      <c r="F122" s="48" t="s">
        <v>169</v>
      </c>
      <c r="G122" s="50">
        <f>SUM(G118:G121)</f>
        <v>173.1</v>
      </c>
    </row>
    <row r="123" spans="1:7" ht="15.75" customHeight="1" x14ac:dyDescent="0.25">
      <c r="A123" s="16"/>
      <c r="B123" s="34">
        <v>5939</v>
      </c>
      <c r="C123" s="33" t="s">
        <v>137</v>
      </c>
      <c r="D123" s="33" t="s">
        <v>87</v>
      </c>
      <c r="E123" s="33"/>
      <c r="F123" s="33" t="s">
        <v>42</v>
      </c>
      <c r="G123" s="35">
        <v>60.46</v>
      </c>
    </row>
    <row r="124" spans="1:7" ht="15.75" customHeight="1" x14ac:dyDescent="0.25">
      <c r="A124" s="16"/>
      <c r="B124" s="34">
        <v>5990</v>
      </c>
      <c r="C124" s="33" t="s">
        <v>79</v>
      </c>
      <c r="D124" s="33" t="s">
        <v>81</v>
      </c>
      <c r="E124" s="33"/>
      <c r="F124" s="33" t="s">
        <v>42</v>
      </c>
      <c r="G124" s="35">
        <v>37.74</v>
      </c>
    </row>
    <row r="125" spans="1:7" ht="15.75" customHeight="1" x14ac:dyDescent="0.25">
      <c r="A125" s="16"/>
      <c r="B125" s="34">
        <v>5993</v>
      </c>
      <c r="C125" s="33" t="s">
        <v>165</v>
      </c>
      <c r="D125" s="33" t="s">
        <v>166</v>
      </c>
      <c r="E125" s="33"/>
      <c r="F125" s="33" t="s">
        <v>42</v>
      </c>
      <c r="G125" s="35">
        <v>18.78</v>
      </c>
    </row>
    <row r="126" spans="1:7" ht="15.75" customHeight="1" x14ac:dyDescent="0.25">
      <c r="A126" s="16"/>
      <c r="B126" s="34">
        <v>5995</v>
      </c>
      <c r="C126" s="33" t="s">
        <v>40</v>
      </c>
      <c r="D126" s="33" t="s">
        <v>41</v>
      </c>
      <c r="E126" s="33"/>
      <c r="F126" s="33" t="s">
        <v>42</v>
      </c>
      <c r="G126" s="35">
        <v>15.32</v>
      </c>
    </row>
    <row r="127" spans="1:7" ht="15.75" customHeight="1" x14ac:dyDescent="0.25">
      <c r="A127" s="47">
        <v>11</v>
      </c>
      <c r="B127" s="16"/>
      <c r="C127" s="33"/>
      <c r="D127" s="33"/>
      <c r="E127" s="48"/>
      <c r="F127" s="48" t="s">
        <v>169</v>
      </c>
      <c r="G127" s="50">
        <f>SUM(G123:G126)</f>
        <v>132.30000000000001</v>
      </c>
    </row>
    <row r="128" spans="1:7" ht="15.75" customHeight="1" x14ac:dyDescent="0.25">
      <c r="A128" s="16"/>
      <c r="B128" s="34">
        <v>4319</v>
      </c>
      <c r="C128" s="33" t="s">
        <v>91</v>
      </c>
      <c r="D128" s="33" t="s">
        <v>92</v>
      </c>
      <c r="E128" s="33"/>
      <c r="F128" s="33" t="s">
        <v>45</v>
      </c>
      <c r="G128" s="35">
        <v>24.5</v>
      </c>
    </row>
    <row r="129" spans="1:7" ht="15.75" customHeight="1" x14ac:dyDescent="0.25">
      <c r="A129" s="16"/>
      <c r="B129" s="34">
        <v>4341</v>
      </c>
      <c r="C129" s="33" t="s">
        <v>43</v>
      </c>
      <c r="D129" s="33" t="s">
        <v>44</v>
      </c>
      <c r="E129" s="33"/>
      <c r="F129" s="33" t="s">
        <v>45</v>
      </c>
      <c r="G129" s="35">
        <v>51.12</v>
      </c>
    </row>
    <row r="130" spans="1:7" ht="15.75" customHeight="1" x14ac:dyDescent="0.25">
      <c r="A130" s="16"/>
      <c r="B130" s="34">
        <v>4355</v>
      </c>
      <c r="C130" s="33" t="s">
        <v>157</v>
      </c>
      <c r="D130" s="33" t="s">
        <v>158</v>
      </c>
      <c r="E130" s="33"/>
      <c r="F130" s="33" t="s">
        <v>45</v>
      </c>
      <c r="G130" s="35">
        <v>36.18</v>
      </c>
    </row>
    <row r="131" spans="1:7" ht="15.75" customHeight="1" x14ac:dyDescent="0.25">
      <c r="A131" s="16"/>
      <c r="B131" s="34">
        <v>4425</v>
      </c>
      <c r="C131" s="33" t="s">
        <v>89</v>
      </c>
      <c r="D131" s="33" t="s">
        <v>90</v>
      </c>
      <c r="E131" s="33"/>
      <c r="F131" s="33" t="s">
        <v>45</v>
      </c>
      <c r="G131" s="35">
        <v>13.44</v>
      </c>
    </row>
    <row r="132" spans="1:7" ht="15.75" customHeight="1" x14ac:dyDescent="0.25">
      <c r="A132" s="47">
        <v>12</v>
      </c>
      <c r="B132" s="16"/>
      <c r="C132" s="16"/>
      <c r="D132" s="16"/>
      <c r="E132" s="48"/>
      <c r="F132" s="48" t="s">
        <v>169</v>
      </c>
      <c r="G132" s="50">
        <f>SUM(G128:G131)</f>
        <v>125.24000000000001</v>
      </c>
    </row>
    <row r="133" spans="1:7" ht="15.75" customHeight="1" x14ac:dyDescent="0.25">
      <c r="A133" s="16"/>
      <c r="B133" s="34">
        <v>1771</v>
      </c>
      <c r="C133" s="33" t="s">
        <v>50</v>
      </c>
      <c r="D133" s="33" t="s">
        <v>51</v>
      </c>
      <c r="E133" s="33"/>
      <c r="F133" s="33" t="s">
        <v>28</v>
      </c>
      <c r="G133" s="35">
        <v>12.24</v>
      </c>
    </row>
    <row r="134" spans="1:7" ht="15.75" customHeight="1" x14ac:dyDescent="0.25">
      <c r="A134" s="16"/>
      <c r="B134" s="34">
        <v>1772</v>
      </c>
      <c r="C134" s="33" t="s">
        <v>68</v>
      </c>
      <c r="D134" s="33" t="s">
        <v>69</v>
      </c>
      <c r="E134" s="33"/>
      <c r="F134" s="33" t="s">
        <v>28</v>
      </c>
      <c r="G134" s="35">
        <v>29.28</v>
      </c>
    </row>
    <row r="135" spans="1:7" ht="15.75" customHeight="1" x14ac:dyDescent="0.25">
      <c r="A135" s="16"/>
      <c r="B135" s="34">
        <v>1800</v>
      </c>
      <c r="C135" s="33" t="s">
        <v>22</v>
      </c>
      <c r="D135" s="33" t="s">
        <v>25</v>
      </c>
      <c r="E135" s="33"/>
      <c r="F135" s="33" t="s">
        <v>28</v>
      </c>
      <c r="G135" s="35">
        <v>27.7</v>
      </c>
    </row>
    <row r="136" spans="1:7" ht="15.75" customHeight="1" x14ac:dyDescent="0.25">
      <c r="A136" s="16"/>
      <c r="B136" s="34">
        <v>1831</v>
      </c>
      <c r="C136" s="33" t="s">
        <v>52</v>
      </c>
      <c r="D136" s="33" t="s">
        <v>53</v>
      </c>
      <c r="E136" s="33"/>
      <c r="F136" s="33" t="s">
        <v>28</v>
      </c>
      <c r="G136" s="35">
        <v>18.46</v>
      </c>
    </row>
    <row r="137" spans="1:7" ht="15.75" customHeight="1" x14ac:dyDescent="0.25">
      <c r="A137" s="47">
        <v>13</v>
      </c>
      <c r="B137" s="16"/>
      <c r="C137" s="17"/>
      <c r="D137" s="16"/>
      <c r="E137" s="49"/>
      <c r="F137" s="49" t="s">
        <v>169</v>
      </c>
      <c r="G137" s="50">
        <f>SUM(G133:G136)</f>
        <v>87.68</v>
      </c>
    </row>
    <row r="138" spans="1:7" ht="15.75" customHeight="1" x14ac:dyDescent="0.25">
      <c r="A138" s="47"/>
    </row>
    <row r="139" spans="1:7" ht="15.75" customHeight="1" x14ac:dyDescent="0.35">
      <c r="B139" s="9" t="s">
        <v>170</v>
      </c>
    </row>
    <row r="140" spans="1:7" ht="15.75" customHeight="1" x14ac:dyDescent="0.25">
      <c r="A140" s="13" t="s">
        <v>167</v>
      </c>
      <c r="B140" s="14" t="s">
        <v>3</v>
      </c>
      <c r="C140" s="14" t="s">
        <v>5</v>
      </c>
      <c r="D140" s="14" t="s">
        <v>6</v>
      </c>
      <c r="E140" s="14"/>
      <c r="F140" s="14" t="s">
        <v>171</v>
      </c>
      <c r="G140" s="14" t="s">
        <v>168</v>
      </c>
    </row>
    <row r="141" spans="1:7" ht="15.75" customHeight="1" x14ac:dyDescent="0.25">
      <c r="A141" s="55">
        <v>1</v>
      </c>
      <c r="B141" s="56">
        <v>5939</v>
      </c>
      <c r="C141" s="57" t="s">
        <v>137</v>
      </c>
      <c r="D141" s="16" t="s">
        <v>87</v>
      </c>
      <c r="E141" s="33"/>
      <c r="F141" s="33" t="s">
        <v>172</v>
      </c>
      <c r="G141" s="58">
        <v>21.7</v>
      </c>
    </row>
    <row r="142" spans="1:7" ht="15.75" customHeight="1" x14ac:dyDescent="0.25">
      <c r="A142" s="55">
        <v>2</v>
      </c>
      <c r="B142" s="56">
        <v>6387</v>
      </c>
      <c r="C142" s="33" t="s">
        <v>147</v>
      </c>
      <c r="D142" s="16" t="s">
        <v>149</v>
      </c>
      <c r="E142" s="33"/>
      <c r="F142" s="33" t="s">
        <v>172</v>
      </c>
      <c r="G142" s="31">
        <v>21.5</v>
      </c>
    </row>
    <row r="143" spans="1:7" ht="15.75" customHeight="1" x14ac:dyDescent="0.25">
      <c r="A143" s="55">
        <v>3</v>
      </c>
      <c r="B143" s="31">
        <v>6324</v>
      </c>
      <c r="C143" s="33" t="s">
        <v>11</v>
      </c>
      <c r="D143" s="16" t="s">
        <v>12</v>
      </c>
      <c r="E143" s="33"/>
      <c r="F143" s="33" t="s">
        <v>173</v>
      </c>
      <c r="G143" s="31">
        <v>17.32</v>
      </c>
    </row>
    <row r="144" spans="1:7" ht="15.75" customHeight="1" x14ac:dyDescent="0.25">
      <c r="A144" s="55">
        <v>4</v>
      </c>
      <c r="B144" s="31">
        <v>2001</v>
      </c>
      <c r="C144" s="33" t="s">
        <v>46</v>
      </c>
      <c r="D144" s="16" t="s">
        <v>47</v>
      </c>
      <c r="E144" s="33"/>
      <c r="F144" s="33" t="s">
        <v>172</v>
      </c>
      <c r="G144" s="31">
        <v>15.18</v>
      </c>
    </row>
    <row r="145" spans="1:7" ht="15.75" customHeight="1" x14ac:dyDescent="0.25">
      <c r="A145" s="55">
        <v>5</v>
      </c>
      <c r="B145" s="44">
        <v>6407</v>
      </c>
      <c r="C145" s="33" t="s">
        <v>80</v>
      </c>
      <c r="D145" s="16" t="s">
        <v>82</v>
      </c>
      <c r="E145" s="33"/>
      <c r="F145" s="33" t="s">
        <v>172</v>
      </c>
      <c r="G145" s="31">
        <v>12.32</v>
      </c>
    </row>
    <row r="146" spans="1:7" ht="15.75" customHeight="1" x14ac:dyDescent="0.25"/>
    <row r="147" spans="1:7" ht="15.75" customHeight="1" x14ac:dyDescent="0.25"/>
    <row r="148" spans="1:7" ht="15.75" customHeight="1" x14ac:dyDescent="0.25"/>
    <row r="149" spans="1:7" ht="15.75" customHeight="1" x14ac:dyDescent="0.25"/>
    <row r="150" spans="1:7" ht="15.75" customHeight="1" x14ac:dyDescent="0.25"/>
    <row r="151" spans="1:7" ht="15.75" customHeight="1" x14ac:dyDescent="0.25"/>
    <row r="152" spans="1:7" ht="15.75" customHeight="1" x14ac:dyDescent="0.25"/>
    <row r="153" spans="1:7" ht="15.75" customHeight="1" x14ac:dyDescent="0.25"/>
    <row r="154" spans="1:7" ht="15.75" customHeight="1" x14ac:dyDescent="0.25"/>
    <row r="155" spans="1:7" ht="15.75" customHeight="1" x14ac:dyDescent="0.25"/>
    <row r="156" spans="1:7" ht="15.75" customHeight="1" x14ac:dyDescent="0.25"/>
    <row r="157" spans="1:7" ht="15.75" customHeight="1" x14ac:dyDescent="0.25"/>
    <row r="158" spans="1:7" ht="15.75" customHeight="1" x14ac:dyDescent="0.25"/>
    <row r="159" spans="1:7" ht="15.75" customHeight="1" x14ac:dyDescent="0.25"/>
    <row r="160" spans="1:7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spans="1:2" ht="15.75" customHeight="1" x14ac:dyDescent="0.25"/>
    <row r="178" spans="1:2" ht="15.75" customHeight="1" x14ac:dyDescent="0.25"/>
    <row r="179" spans="1:2" ht="15.75" customHeight="1" x14ac:dyDescent="0.25"/>
    <row r="180" spans="1:2" ht="15.75" customHeight="1" x14ac:dyDescent="0.25"/>
    <row r="181" spans="1:2" ht="15.75" customHeight="1" x14ac:dyDescent="0.25"/>
    <row r="182" spans="1:2" ht="15.75" customHeight="1" x14ac:dyDescent="0.25"/>
    <row r="183" spans="1:2" ht="15.75" customHeight="1" x14ac:dyDescent="0.25"/>
    <row r="184" spans="1:2" ht="15.75" customHeight="1" x14ac:dyDescent="0.25"/>
    <row r="185" spans="1:2" ht="15.75" customHeight="1" x14ac:dyDescent="0.25"/>
    <row r="186" spans="1:2" ht="15.75" customHeight="1" x14ac:dyDescent="0.25"/>
    <row r="187" spans="1:2" ht="15.75" customHeight="1" x14ac:dyDescent="0.25"/>
    <row r="188" spans="1:2" ht="15.75" customHeight="1" x14ac:dyDescent="0.25"/>
    <row r="189" spans="1:2" ht="15.75" customHeight="1" x14ac:dyDescent="0.25"/>
    <row r="190" spans="1:2" ht="15.75" customHeight="1" x14ac:dyDescent="0.25"/>
    <row r="191" spans="1:2" ht="15.75" customHeight="1" x14ac:dyDescent="0.25">
      <c r="A191" s="26"/>
      <c r="B191" s="26"/>
    </row>
    <row r="192" spans="1:2" ht="15.75" customHeight="1" x14ac:dyDescent="0.25">
      <c r="A192" s="26"/>
      <c r="B192" s="26"/>
    </row>
    <row r="193" spans="1:2" ht="15.75" customHeight="1" x14ac:dyDescent="0.25">
      <c r="A193" s="26"/>
      <c r="B193" s="26"/>
    </row>
    <row r="194" spans="1:2" ht="15.75" customHeight="1" x14ac:dyDescent="0.25">
      <c r="A194" s="26"/>
      <c r="B194" s="26"/>
    </row>
    <row r="195" spans="1:2" ht="15.75" customHeight="1" x14ac:dyDescent="0.25">
      <c r="A195" s="26"/>
      <c r="B195" s="26"/>
    </row>
    <row r="196" spans="1:2" ht="15.75" customHeight="1" x14ac:dyDescent="0.25">
      <c r="A196" s="26"/>
      <c r="B196" s="26"/>
    </row>
    <row r="197" spans="1:2" ht="15.75" customHeight="1" x14ac:dyDescent="0.25">
      <c r="A197" s="26"/>
      <c r="B197" s="26"/>
    </row>
    <row r="198" spans="1:2" ht="15.75" customHeight="1" x14ac:dyDescent="0.25">
      <c r="A198" s="26"/>
      <c r="B198" s="26"/>
    </row>
    <row r="199" spans="1:2" ht="15.75" customHeight="1" x14ac:dyDescent="0.25">
      <c r="A199" s="26"/>
      <c r="B199" s="26"/>
    </row>
    <row r="200" spans="1:2" ht="15.75" customHeight="1" x14ac:dyDescent="0.25">
      <c r="A200" s="26"/>
      <c r="B200" s="26"/>
    </row>
    <row r="201" spans="1:2" ht="15.75" customHeight="1" x14ac:dyDescent="0.25">
      <c r="A201" s="26"/>
      <c r="B201" s="26"/>
    </row>
    <row r="202" spans="1:2" ht="15.75" customHeight="1" x14ac:dyDescent="0.25">
      <c r="A202" s="26"/>
      <c r="B202" s="26"/>
    </row>
    <row r="203" spans="1:2" ht="15.75" customHeight="1" x14ac:dyDescent="0.25">
      <c r="A203" s="26"/>
      <c r="B203" s="26"/>
    </row>
    <row r="204" spans="1:2" ht="15.75" customHeight="1" x14ac:dyDescent="0.25">
      <c r="A204" s="26"/>
      <c r="B204" s="26"/>
    </row>
    <row r="205" spans="1:2" ht="15.75" customHeight="1" x14ac:dyDescent="0.25">
      <c r="A205" s="26"/>
      <c r="B205" s="26"/>
    </row>
    <row r="206" spans="1:2" ht="15.75" customHeight="1" x14ac:dyDescent="0.25">
      <c r="A206" s="26"/>
      <c r="B206" s="26"/>
    </row>
    <row r="207" spans="1:2" ht="15.75" customHeight="1" x14ac:dyDescent="0.25">
      <c r="A207" s="26"/>
      <c r="B207" s="26"/>
    </row>
    <row r="208" spans="1:2" ht="15.75" customHeight="1" x14ac:dyDescent="0.25">
      <c r="A208" s="26"/>
      <c r="B208" s="26"/>
    </row>
    <row r="209" spans="1:2" ht="15.75" customHeight="1" x14ac:dyDescent="0.25">
      <c r="A209" s="26"/>
      <c r="B209" s="26"/>
    </row>
    <row r="210" spans="1:2" ht="15.75" customHeight="1" x14ac:dyDescent="0.25">
      <c r="A210" s="26"/>
      <c r="B210" s="26"/>
    </row>
    <row r="211" spans="1:2" ht="15.75" customHeight="1" x14ac:dyDescent="0.25">
      <c r="A211" s="26"/>
      <c r="B211" s="26"/>
    </row>
    <row r="212" spans="1:2" ht="15.75" customHeight="1" x14ac:dyDescent="0.25">
      <c r="A212" s="26"/>
      <c r="B212" s="26"/>
    </row>
    <row r="213" spans="1:2" ht="15.75" customHeight="1" x14ac:dyDescent="0.25">
      <c r="A213" s="26"/>
      <c r="B213" s="26"/>
    </row>
    <row r="214" spans="1:2" ht="15.75" customHeight="1" x14ac:dyDescent="0.25">
      <c r="A214" s="26"/>
      <c r="B214" s="26"/>
    </row>
    <row r="215" spans="1:2" ht="15.75" customHeight="1" x14ac:dyDescent="0.25">
      <c r="A215" s="26"/>
      <c r="B215" s="26"/>
    </row>
    <row r="216" spans="1:2" ht="15.75" customHeight="1" x14ac:dyDescent="0.25">
      <c r="A216" s="26"/>
      <c r="B216" s="26"/>
    </row>
    <row r="217" spans="1:2" ht="15.75" customHeight="1" x14ac:dyDescent="0.25">
      <c r="A217" s="26"/>
      <c r="B217" s="26"/>
    </row>
    <row r="218" spans="1:2" ht="15.75" customHeight="1" x14ac:dyDescent="0.25">
      <c r="A218" s="26"/>
      <c r="B218" s="26"/>
    </row>
    <row r="219" spans="1:2" ht="15.75" customHeight="1" x14ac:dyDescent="0.25">
      <c r="A219" s="26"/>
      <c r="B219" s="26"/>
    </row>
    <row r="220" spans="1:2" ht="15.75" customHeight="1" x14ac:dyDescent="0.25">
      <c r="A220" s="26"/>
      <c r="B220" s="26"/>
    </row>
    <row r="221" spans="1:2" ht="15.75" customHeight="1" x14ac:dyDescent="0.25">
      <c r="A221" s="26"/>
      <c r="B221" s="26"/>
    </row>
    <row r="222" spans="1:2" ht="15.75" customHeight="1" x14ac:dyDescent="0.25">
      <c r="A222" s="26"/>
      <c r="B222" s="26"/>
    </row>
    <row r="223" spans="1:2" ht="15.75" customHeight="1" x14ac:dyDescent="0.25">
      <c r="A223" s="26"/>
      <c r="B223" s="26"/>
    </row>
    <row r="224" spans="1:2" ht="15.75" customHeight="1" x14ac:dyDescent="0.25">
      <c r="A224" s="26"/>
      <c r="B224" s="26"/>
    </row>
    <row r="225" spans="1:2" ht="15.75" customHeight="1" x14ac:dyDescent="0.25">
      <c r="A225" s="26"/>
      <c r="B225" s="26"/>
    </row>
    <row r="226" spans="1:2" ht="15.75" customHeight="1" x14ac:dyDescent="0.25">
      <c r="A226" s="26"/>
      <c r="B226" s="26"/>
    </row>
    <row r="227" spans="1:2" ht="15.75" customHeight="1" x14ac:dyDescent="0.25">
      <c r="A227" s="26"/>
      <c r="B227" s="26"/>
    </row>
    <row r="228" spans="1:2" ht="15.75" customHeight="1" x14ac:dyDescent="0.25">
      <c r="A228" s="26"/>
      <c r="B228" s="26"/>
    </row>
    <row r="229" spans="1:2" ht="15.75" customHeight="1" x14ac:dyDescent="0.25">
      <c r="A229" s="26"/>
      <c r="B229" s="26"/>
    </row>
    <row r="230" spans="1:2" ht="15.75" customHeight="1" x14ac:dyDescent="0.25">
      <c r="A230" s="26"/>
      <c r="B230" s="26"/>
    </row>
    <row r="231" spans="1:2" ht="15.75" customHeight="1" x14ac:dyDescent="0.25">
      <c r="A231" s="26"/>
      <c r="B231" s="26"/>
    </row>
    <row r="232" spans="1:2" ht="15.75" customHeight="1" x14ac:dyDescent="0.25">
      <c r="A232" s="26"/>
      <c r="B232" s="26"/>
    </row>
    <row r="233" spans="1:2" ht="15.75" customHeight="1" x14ac:dyDescent="0.25">
      <c r="A233" s="26"/>
      <c r="B233" s="26"/>
    </row>
    <row r="234" spans="1:2" ht="15.75" customHeight="1" x14ac:dyDescent="0.25">
      <c r="A234" s="26"/>
      <c r="B234" s="26"/>
    </row>
    <row r="235" spans="1:2" ht="15.75" customHeight="1" x14ac:dyDescent="0.25">
      <c r="A235" s="26"/>
      <c r="B235" s="26"/>
    </row>
    <row r="236" spans="1:2" ht="15.75" customHeight="1" x14ac:dyDescent="0.25">
      <c r="A236" s="26"/>
      <c r="B236" s="26"/>
    </row>
    <row r="237" spans="1:2" ht="15.75" customHeight="1" x14ac:dyDescent="0.25">
      <c r="A237" s="26"/>
      <c r="B237" s="26"/>
    </row>
    <row r="238" spans="1:2" ht="15.75" customHeight="1" x14ac:dyDescent="0.25">
      <c r="A238" s="26"/>
      <c r="B238" s="26"/>
    </row>
    <row r="239" spans="1:2" ht="15.75" customHeight="1" x14ac:dyDescent="0.25">
      <c r="A239" s="26"/>
      <c r="B239" s="26"/>
    </row>
    <row r="240" spans="1:2" ht="15.75" customHeight="1" x14ac:dyDescent="0.25">
      <c r="A240" s="26"/>
      <c r="B240" s="26"/>
    </row>
    <row r="241" spans="1:2" ht="15.75" customHeight="1" x14ac:dyDescent="0.25">
      <c r="A241" s="26"/>
      <c r="B241" s="26"/>
    </row>
    <row r="242" spans="1:2" ht="15.75" customHeight="1" x14ac:dyDescent="0.25">
      <c r="A242" s="26"/>
      <c r="B242" s="26"/>
    </row>
    <row r="243" spans="1:2" ht="15.75" customHeight="1" x14ac:dyDescent="0.25">
      <c r="A243" s="26"/>
      <c r="B243" s="26"/>
    </row>
    <row r="244" spans="1:2" ht="15.75" customHeight="1" x14ac:dyDescent="0.25">
      <c r="A244" s="26"/>
      <c r="B244" s="26"/>
    </row>
    <row r="245" spans="1:2" ht="15.75" customHeight="1" x14ac:dyDescent="0.25">
      <c r="A245" s="26"/>
      <c r="B245" s="26"/>
    </row>
    <row r="246" spans="1:2" ht="15.75" customHeight="1" x14ac:dyDescent="0.25">
      <c r="A246" s="26"/>
      <c r="B246" s="26"/>
    </row>
    <row r="247" spans="1:2" ht="15.75" customHeight="1" x14ac:dyDescent="0.25">
      <c r="A247" s="26"/>
      <c r="B247" s="26"/>
    </row>
    <row r="248" spans="1:2" ht="15.75" customHeight="1" x14ac:dyDescent="0.25">
      <c r="A248" s="26"/>
      <c r="B248" s="26"/>
    </row>
    <row r="249" spans="1:2" ht="15.75" customHeight="1" x14ac:dyDescent="0.25">
      <c r="A249" s="26"/>
      <c r="B249" s="26"/>
    </row>
    <row r="250" spans="1:2" ht="15.75" customHeight="1" x14ac:dyDescent="0.25">
      <c r="A250" s="26"/>
      <c r="B250" s="26"/>
    </row>
    <row r="251" spans="1:2" ht="15.75" customHeight="1" x14ac:dyDescent="0.25">
      <c r="A251" s="26"/>
      <c r="B251" s="26"/>
    </row>
    <row r="252" spans="1:2" ht="15.75" customHeight="1" x14ac:dyDescent="0.25">
      <c r="A252" s="26"/>
      <c r="B252" s="26"/>
    </row>
    <row r="253" spans="1:2" ht="15.75" customHeight="1" x14ac:dyDescent="0.25">
      <c r="A253" s="26"/>
      <c r="B253" s="26"/>
    </row>
    <row r="254" spans="1:2" ht="15.75" customHeight="1" x14ac:dyDescent="0.25">
      <c r="A254" s="26"/>
      <c r="B254" s="26"/>
    </row>
    <row r="255" spans="1:2" ht="15.75" customHeight="1" x14ac:dyDescent="0.25">
      <c r="A255" s="26"/>
      <c r="B255" s="26"/>
    </row>
    <row r="256" spans="1:2" ht="15.75" customHeight="1" x14ac:dyDescent="0.25">
      <c r="A256" s="26"/>
      <c r="B256" s="26"/>
    </row>
    <row r="257" spans="1:2" ht="15.75" customHeight="1" x14ac:dyDescent="0.25">
      <c r="A257" s="26"/>
      <c r="B257" s="26"/>
    </row>
    <row r="258" spans="1:2" ht="15.75" customHeight="1" x14ac:dyDescent="0.25">
      <c r="A258" s="26"/>
      <c r="B258" s="26"/>
    </row>
    <row r="259" spans="1:2" ht="15.75" customHeight="1" x14ac:dyDescent="0.25">
      <c r="A259" s="26"/>
      <c r="B259" s="26"/>
    </row>
    <row r="260" spans="1:2" ht="15.75" customHeight="1" x14ac:dyDescent="0.25">
      <c r="A260" s="26"/>
      <c r="B260" s="26"/>
    </row>
    <row r="261" spans="1:2" ht="15.75" customHeight="1" x14ac:dyDescent="0.25">
      <c r="A261" s="26"/>
      <c r="B261" s="26"/>
    </row>
    <row r="262" spans="1:2" ht="15.75" customHeight="1" x14ac:dyDescent="0.25">
      <c r="A262" s="26"/>
      <c r="B262" s="26"/>
    </row>
    <row r="263" spans="1:2" ht="15.75" customHeight="1" x14ac:dyDescent="0.25">
      <c r="A263" s="26"/>
      <c r="B263" s="26"/>
    </row>
    <row r="264" spans="1:2" ht="15.75" customHeight="1" x14ac:dyDescent="0.25">
      <c r="A264" s="26"/>
      <c r="B264" s="26"/>
    </row>
    <row r="265" spans="1:2" ht="15.75" customHeight="1" x14ac:dyDescent="0.25">
      <c r="A265" s="26"/>
      <c r="B265" s="26"/>
    </row>
    <row r="266" spans="1:2" ht="15.75" customHeight="1" x14ac:dyDescent="0.25">
      <c r="A266" s="26"/>
      <c r="B266" s="26"/>
    </row>
    <row r="267" spans="1:2" ht="15.75" customHeight="1" x14ac:dyDescent="0.25">
      <c r="A267" s="26"/>
      <c r="B267" s="26"/>
    </row>
    <row r="268" spans="1:2" ht="15.75" customHeight="1" x14ac:dyDescent="0.25">
      <c r="A268" s="26"/>
      <c r="B268" s="26"/>
    </row>
    <row r="269" spans="1:2" ht="15.75" customHeight="1" x14ac:dyDescent="0.25">
      <c r="A269" s="26"/>
      <c r="B269" s="26"/>
    </row>
    <row r="270" spans="1:2" ht="15.75" customHeight="1" x14ac:dyDescent="0.25">
      <c r="A270" s="26"/>
      <c r="B270" s="26"/>
    </row>
    <row r="271" spans="1:2" ht="15.75" customHeight="1" x14ac:dyDescent="0.25">
      <c r="A271" s="26"/>
      <c r="B271" s="26"/>
    </row>
    <row r="272" spans="1:2" ht="15.75" customHeight="1" x14ac:dyDescent="0.25">
      <c r="A272" s="26"/>
      <c r="B272" s="26"/>
    </row>
    <row r="273" spans="1:2" ht="15.75" customHeight="1" x14ac:dyDescent="0.25">
      <c r="A273" s="26"/>
      <c r="B273" s="26"/>
    </row>
    <row r="274" spans="1:2" ht="15.75" customHeight="1" x14ac:dyDescent="0.25">
      <c r="A274" s="26"/>
      <c r="B274" s="26"/>
    </row>
    <row r="275" spans="1:2" ht="15.75" customHeight="1" x14ac:dyDescent="0.25">
      <c r="A275" s="26"/>
      <c r="B275" s="26"/>
    </row>
    <row r="276" spans="1:2" ht="15.75" customHeight="1" x14ac:dyDescent="0.25">
      <c r="A276" s="26"/>
      <c r="B276" s="26"/>
    </row>
    <row r="277" spans="1:2" ht="15.75" customHeight="1" x14ac:dyDescent="0.25">
      <c r="A277" s="26"/>
      <c r="B277" s="26"/>
    </row>
    <row r="278" spans="1:2" ht="15.75" customHeight="1" x14ac:dyDescent="0.25">
      <c r="A278" s="26"/>
      <c r="B278" s="26"/>
    </row>
    <row r="279" spans="1:2" ht="15.75" customHeight="1" x14ac:dyDescent="0.25">
      <c r="A279" s="26"/>
      <c r="B279" s="26"/>
    </row>
    <row r="280" spans="1:2" ht="15.75" customHeight="1" x14ac:dyDescent="0.25">
      <c r="A280" s="26"/>
      <c r="B280" s="26"/>
    </row>
    <row r="281" spans="1:2" ht="15.75" customHeight="1" x14ac:dyDescent="0.25">
      <c r="A281" s="26"/>
      <c r="B281" s="26"/>
    </row>
    <row r="282" spans="1:2" ht="15.75" customHeight="1" x14ac:dyDescent="0.25">
      <c r="A282" s="26"/>
      <c r="B282" s="26"/>
    </row>
    <row r="283" spans="1:2" ht="15.75" customHeight="1" x14ac:dyDescent="0.25">
      <c r="A283" s="26"/>
      <c r="B283" s="26"/>
    </row>
    <row r="284" spans="1:2" ht="15.75" customHeight="1" x14ac:dyDescent="0.25">
      <c r="A284" s="26"/>
      <c r="B284" s="26"/>
    </row>
    <row r="285" spans="1:2" ht="15.75" customHeight="1" x14ac:dyDescent="0.25">
      <c r="A285" s="26"/>
      <c r="B285" s="26"/>
    </row>
    <row r="286" spans="1:2" ht="15.75" customHeight="1" x14ac:dyDescent="0.25">
      <c r="A286" s="26"/>
      <c r="B286" s="26"/>
    </row>
    <row r="287" spans="1:2" ht="15.75" customHeight="1" x14ac:dyDescent="0.25">
      <c r="A287" s="26"/>
      <c r="B287" s="26"/>
    </row>
    <row r="288" spans="1:2" ht="15.75" customHeight="1" x14ac:dyDescent="0.25">
      <c r="A288" s="26"/>
      <c r="B288" s="26"/>
    </row>
    <row r="289" spans="1:2" ht="15.75" customHeight="1" x14ac:dyDescent="0.25">
      <c r="A289" s="26"/>
      <c r="B289" s="26"/>
    </row>
    <row r="290" spans="1:2" ht="15.75" customHeight="1" x14ac:dyDescent="0.25">
      <c r="A290" s="26"/>
      <c r="B290" s="26"/>
    </row>
    <row r="291" spans="1:2" ht="15.75" customHeight="1" x14ac:dyDescent="0.25">
      <c r="A291" s="26"/>
      <c r="B291" s="26"/>
    </row>
    <row r="292" spans="1:2" ht="15.75" customHeight="1" x14ac:dyDescent="0.25">
      <c r="A292" s="26"/>
      <c r="B292" s="26"/>
    </row>
    <row r="293" spans="1:2" ht="15.75" customHeight="1" x14ac:dyDescent="0.25">
      <c r="A293" s="26"/>
      <c r="B293" s="26"/>
    </row>
    <row r="294" spans="1:2" ht="15.75" customHeight="1" x14ac:dyDescent="0.25">
      <c r="A294" s="26"/>
      <c r="B294" s="26"/>
    </row>
    <row r="295" spans="1:2" ht="15.75" customHeight="1" x14ac:dyDescent="0.25">
      <c r="A295" s="26"/>
      <c r="B295" s="26"/>
    </row>
    <row r="296" spans="1:2" ht="15.75" customHeight="1" x14ac:dyDescent="0.25">
      <c r="A296" s="26"/>
      <c r="B296" s="26"/>
    </row>
    <row r="297" spans="1:2" ht="15.75" customHeight="1" x14ac:dyDescent="0.25">
      <c r="A297" s="26"/>
      <c r="B297" s="26"/>
    </row>
    <row r="298" spans="1:2" ht="15.75" customHeight="1" x14ac:dyDescent="0.25">
      <c r="A298" s="26"/>
      <c r="B298" s="26"/>
    </row>
    <row r="299" spans="1:2" ht="15.75" customHeight="1" x14ac:dyDescent="0.25">
      <c r="A299" s="26"/>
      <c r="B299" s="26"/>
    </row>
    <row r="300" spans="1:2" ht="15.75" customHeight="1" x14ac:dyDescent="0.25">
      <c r="A300" s="26"/>
      <c r="B300" s="26"/>
    </row>
    <row r="301" spans="1:2" ht="15.75" customHeight="1" x14ac:dyDescent="0.25">
      <c r="A301" s="26"/>
      <c r="B301" s="26"/>
    </row>
    <row r="302" spans="1:2" ht="15.75" customHeight="1" x14ac:dyDescent="0.25">
      <c r="A302" s="26"/>
      <c r="B302" s="26"/>
    </row>
    <row r="303" spans="1:2" ht="15.75" customHeight="1" x14ac:dyDescent="0.25">
      <c r="A303" s="26"/>
      <c r="B303" s="26"/>
    </row>
    <row r="304" spans="1:2" ht="15.75" customHeight="1" x14ac:dyDescent="0.25">
      <c r="A304" s="26"/>
      <c r="B304" s="26"/>
    </row>
    <row r="305" spans="1:2" ht="15.75" customHeight="1" x14ac:dyDescent="0.25">
      <c r="A305" s="26"/>
      <c r="B305" s="26"/>
    </row>
    <row r="306" spans="1:2" ht="15.75" customHeight="1" x14ac:dyDescent="0.25">
      <c r="A306" s="26"/>
      <c r="B306" s="26"/>
    </row>
    <row r="307" spans="1:2" ht="15.75" customHeight="1" x14ac:dyDescent="0.25">
      <c r="A307" s="26"/>
      <c r="B307" s="26"/>
    </row>
    <row r="308" spans="1:2" ht="15.75" customHeight="1" x14ac:dyDescent="0.25">
      <c r="A308" s="26"/>
      <c r="B308" s="26"/>
    </row>
    <row r="309" spans="1:2" ht="15.75" customHeight="1" x14ac:dyDescent="0.25">
      <c r="A309" s="26"/>
      <c r="B309" s="26"/>
    </row>
    <row r="310" spans="1:2" ht="15.75" customHeight="1" x14ac:dyDescent="0.25">
      <c r="A310" s="26"/>
      <c r="B310" s="26"/>
    </row>
    <row r="311" spans="1:2" ht="15.75" customHeight="1" x14ac:dyDescent="0.25">
      <c r="A311" s="26"/>
      <c r="B311" s="26"/>
    </row>
    <row r="312" spans="1:2" ht="15.75" customHeight="1" x14ac:dyDescent="0.25">
      <c r="A312" s="26"/>
      <c r="B312" s="26"/>
    </row>
    <row r="313" spans="1:2" ht="15.75" customHeight="1" x14ac:dyDescent="0.25">
      <c r="A313" s="26"/>
      <c r="B313" s="26"/>
    </row>
    <row r="314" spans="1:2" ht="15.75" customHeight="1" x14ac:dyDescent="0.25">
      <c r="A314" s="26"/>
      <c r="B314" s="26"/>
    </row>
    <row r="315" spans="1:2" ht="15.75" customHeight="1" x14ac:dyDescent="0.25">
      <c r="A315" s="26"/>
      <c r="B315" s="26"/>
    </row>
    <row r="316" spans="1:2" ht="15.75" customHeight="1" x14ac:dyDescent="0.25">
      <c r="A316" s="26"/>
      <c r="B316" s="26"/>
    </row>
    <row r="317" spans="1:2" ht="15.75" customHeight="1" x14ac:dyDescent="0.25">
      <c r="A317" s="26"/>
      <c r="B317" s="26"/>
    </row>
    <row r="318" spans="1:2" ht="15.75" customHeight="1" x14ac:dyDescent="0.25">
      <c r="A318" s="26"/>
      <c r="B318" s="26"/>
    </row>
    <row r="319" spans="1:2" ht="15.75" customHeight="1" x14ac:dyDescent="0.25">
      <c r="A319" s="26"/>
      <c r="B319" s="26"/>
    </row>
    <row r="320" spans="1:2" ht="15.75" customHeight="1" x14ac:dyDescent="0.25">
      <c r="A320" s="26"/>
      <c r="B320" s="26"/>
    </row>
    <row r="321" spans="1:2" ht="15.75" customHeight="1" x14ac:dyDescent="0.25">
      <c r="A321" s="26"/>
      <c r="B321" s="26"/>
    </row>
    <row r="322" spans="1:2" ht="15.75" customHeight="1" x14ac:dyDescent="0.25">
      <c r="A322" s="26"/>
      <c r="B322" s="26"/>
    </row>
    <row r="323" spans="1:2" ht="15.75" customHeight="1" x14ac:dyDescent="0.25">
      <c r="A323" s="26"/>
      <c r="B323" s="26"/>
    </row>
    <row r="324" spans="1:2" ht="15.75" customHeight="1" x14ac:dyDescent="0.25">
      <c r="A324" s="26"/>
      <c r="B324" s="26"/>
    </row>
    <row r="325" spans="1:2" ht="15.75" customHeight="1" x14ac:dyDescent="0.25">
      <c r="A325" s="26"/>
      <c r="B325" s="26"/>
    </row>
    <row r="326" spans="1:2" ht="15.75" customHeight="1" x14ac:dyDescent="0.25">
      <c r="A326" s="26"/>
      <c r="B326" s="26"/>
    </row>
    <row r="327" spans="1:2" ht="15.75" customHeight="1" x14ac:dyDescent="0.25">
      <c r="A327" s="26"/>
      <c r="B327" s="26"/>
    </row>
    <row r="328" spans="1:2" ht="15.75" customHeight="1" x14ac:dyDescent="0.25">
      <c r="A328" s="26"/>
      <c r="B328" s="26"/>
    </row>
    <row r="329" spans="1:2" ht="15.75" customHeight="1" x14ac:dyDescent="0.25">
      <c r="A329" s="26"/>
      <c r="B329" s="26"/>
    </row>
    <row r="330" spans="1:2" ht="15.75" customHeight="1" x14ac:dyDescent="0.25">
      <c r="A330" s="26"/>
      <c r="B330" s="26"/>
    </row>
    <row r="331" spans="1:2" ht="15.75" customHeight="1" x14ac:dyDescent="0.25">
      <c r="A331" s="26"/>
      <c r="B331" s="26"/>
    </row>
    <row r="332" spans="1:2" ht="15.75" customHeight="1" x14ac:dyDescent="0.25">
      <c r="A332" s="26"/>
      <c r="B332" s="26"/>
    </row>
    <row r="333" spans="1:2" ht="15.75" customHeight="1" x14ac:dyDescent="0.25">
      <c r="A333" s="26"/>
      <c r="B333" s="26"/>
    </row>
    <row r="334" spans="1:2" ht="15.75" customHeight="1" x14ac:dyDescent="0.25">
      <c r="A334" s="26"/>
      <c r="B334" s="26"/>
    </row>
    <row r="335" spans="1:2" ht="15.75" customHeight="1" x14ac:dyDescent="0.25">
      <c r="A335" s="26"/>
      <c r="B335" s="26"/>
    </row>
    <row r="336" spans="1:2" ht="15.75" customHeight="1" x14ac:dyDescent="0.25">
      <c r="A336" s="26"/>
      <c r="B336" s="26"/>
    </row>
    <row r="337" spans="1:2" ht="15.75" customHeight="1" x14ac:dyDescent="0.25">
      <c r="A337" s="26"/>
      <c r="B337" s="26"/>
    </row>
    <row r="338" spans="1:2" ht="15.75" customHeight="1" x14ac:dyDescent="0.25">
      <c r="A338" s="26"/>
      <c r="B338" s="26"/>
    </row>
    <row r="339" spans="1:2" ht="15.75" customHeight="1" x14ac:dyDescent="0.25">
      <c r="A339" s="26"/>
      <c r="B339" s="26"/>
    </row>
    <row r="340" spans="1:2" ht="15.75" customHeight="1" x14ac:dyDescent="0.25">
      <c r="A340" s="26"/>
      <c r="B340" s="26"/>
    </row>
    <row r="341" spans="1:2" ht="15.75" customHeight="1" x14ac:dyDescent="0.25">
      <c r="A341" s="26"/>
      <c r="B341" s="26"/>
    </row>
    <row r="342" spans="1:2" ht="15.75" customHeight="1" x14ac:dyDescent="0.25">
      <c r="A342" s="26"/>
      <c r="B342" s="26"/>
    </row>
    <row r="343" spans="1:2" ht="15.75" customHeight="1" x14ac:dyDescent="0.25">
      <c r="A343" s="26"/>
      <c r="B343" s="26"/>
    </row>
    <row r="344" spans="1:2" ht="15.75" customHeight="1" x14ac:dyDescent="0.25">
      <c r="A344" s="26"/>
      <c r="B344" s="26"/>
    </row>
    <row r="345" spans="1:2" ht="15.75" customHeight="1" x14ac:dyDescent="0.25">
      <c r="A345" s="26"/>
      <c r="B345" s="26"/>
    </row>
    <row r="346" spans="1:2" ht="15.75" customHeight="1" x14ac:dyDescent="0.25">
      <c r="A346" s="26"/>
      <c r="B346" s="26"/>
    </row>
    <row r="347" spans="1:2" ht="15.75" customHeight="1" x14ac:dyDescent="0.25">
      <c r="A347" s="26"/>
      <c r="B347" s="26"/>
    </row>
    <row r="348" spans="1:2" ht="15.75" customHeight="1" x14ac:dyDescent="0.25">
      <c r="A348" s="26"/>
      <c r="B348" s="26"/>
    </row>
    <row r="349" spans="1:2" ht="15.75" customHeight="1" x14ac:dyDescent="0.25">
      <c r="A349" s="26"/>
      <c r="B349" s="26"/>
    </row>
    <row r="350" spans="1:2" ht="15.75" customHeight="1" x14ac:dyDescent="0.25">
      <c r="A350" s="26"/>
      <c r="B350" s="26"/>
    </row>
    <row r="351" spans="1:2" ht="15.75" customHeight="1" x14ac:dyDescent="0.25">
      <c r="A351" s="26"/>
      <c r="B351" s="26"/>
    </row>
    <row r="352" spans="1:2" ht="15.75" customHeight="1" x14ac:dyDescent="0.25">
      <c r="A352" s="26"/>
      <c r="B352" s="26"/>
    </row>
    <row r="353" spans="1:2" ht="15.75" customHeight="1" x14ac:dyDescent="0.25">
      <c r="A353" s="26"/>
      <c r="B353" s="26"/>
    </row>
    <row r="354" spans="1:2" ht="15.75" customHeight="1" x14ac:dyDescent="0.25">
      <c r="A354" s="26"/>
      <c r="B354" s="26"/>
    </row>
    <row r="355" spans="1:2" ht="15.75" customHeight="1" x14ac:dyDescent="0.25">
      <c r="A355" s="26"/>
      <c r="B355" s="26"/>
    </row>
    <row r="356" spans="1:2" ht="15.75" customHeight="1" x14ac:dyDescent="0.25">
      <c r="A356" s="26"/>
      <c r="B356" s="26"/>
    </row>
    <row r="357" spans="1:2" ht="15.75" customHeight="1" x14ac:dyDescent="0.25">
      <c r="A357" s="26"/>
      <c r="B357" s="26"/>
    </row>
    <row r="358" spans="1:2" ht="15.75" customHeight="1" x14ac:dyDescent="0.25">
      <c r="A358" s="26"/>
      <c r="B358" s="26"/>
    </row>
    <row r="359" spans="1:2" ht="15.75" customHeight="1" x14ac:dyDescent="0.25">
      <c r="A359" s="26"/>
      <c r="B359" s="26"/>
    </row>
    <row r="360" spans="1:2" ht="15.75" customHeight="1" x14ac:dyDescent="0.25">
      <c r="A360" s="26"/>
      <c r="B360" s="26"/>
    </row>
    <row r="361" spans="1:2" ht="15.75" customHeight="1" x14ac:dyDescent="0.25">
      <c r="A361" s="26"/>
      <c r="B361" s="26"/>
    </row>
    <row r="362" spans="1:2" ht="15.75" customHeight="1" x14ac:dyDescent="0.25">
      <c r="A362" s="26"/>
      <c r="B362" s="26"/>
    </row>
    <row r="363" spans="1:2" ht="15.75" customHeight="1" x14ac:dyDescent="0.25">
      <c r="A363" s="26"/>
      <c r="B363" s="26"/>
    </row>
    <row r="364" spans="1:2" ht="15.75" customHeight="1" x14ac:dyDescent="0.25">
      <c r="A364" s="26"/>
      <c r="B364" s="26"/>
    </row>
    <row r="365" spans="1:2" ht="15.75" customHeight="1" x14ac:dyDescent="0.25">
      <c r="A365" s="26"/>
      <c r="B365" s="26"/>
    </row>
    <row r="366" spans="1:2" ht="15.75" customHeight="1" x14ac:dyDescent="0.25">
      <c r="A366" s="26"/>
      <c r="B366" s="26"/>
    </row>
    <row r="367" spans="1:2" ht="15.75" customHeight="1" x14ac:dyDescent="0.25">
      <c r="A367" s="26"/>
      <c r="B367" s="26"/>
    </row>
    <row r="368" spans="1:2" ht="15.75" customHeight="1" x14ac:dyDescent="0.25">
      <c r="A368" s="26"/>
      <c r="B368" s="26"/>
    </row>
    <row r="369" spans="1:2" ht="15.75" customHeight="1" x14ac:dyDescent="0.25">
      <c r="A369" s="26"/>
      <c r="B369" s="26"/>
    </row>
    <row r="370" spans="1:2" ht="15.75" customHeight="1" x14ac:dyDescent="0.25">
      <c r="A370" s="26"/>
      <c r="B370" s="26"/>
    </row>
    <row r="371" spans="1:2" ht="15.75" customHeight="1" x14ac:dyDescent="0.25">
      <c r="A371" s="26"/>
      <c r="B371" s="26"/>
    </row>
    <row r="372" spans="1:2" ht="15.75" customHeight="1" x14ac:dyDescent="0.25">
      <c r="A372" s="26"/>
      <c r="B372" s="26"/>
    </row>
    <row r="373" spans="1:2" ht="15.75" customHeight="1" x14ac:dyDescent="0.25">
      <c r="A373" s="26"/>
      <c r="B373" s="26"/>
    </row>
    <row r="374" spans="1:2" ht="15.75" customHeight="1" x14ac:dyDescent="0.25">
      <c r="A374" s="26"/>
      <c r="B374" s="26"/>
    </row>
    <row r="375" spans="1:2" ht="15.75" customHeight="1" x14ac:dyDescent="0.25">
      <c r="A375" s="26"/>
      <c r="B375" s="26"/>
    </row>
    <row r="376" spans="1:2" ht="15.75" customHeight="1" x14ac:dyDescent="0.25">
      <c r="A376" s="26"/>
      <c r="B376" s="26"/>
    </row>
    <row r="377" spans="1:2" ht="15.75" customHeight="1" x14ac:dyDescent="0.25">
      <c r="A377" s="26"/>
      <c r="B377" s="26"/>
    </row>
    <row r="378" spans="1:2" ht="15.75" customHeight="1" x14ac:dyDescent="0.25">
      <c r="A378" s="26"/>
      <c r="B378" s="26"/>
    </row>
    <row r="379" spans="1:2" ht="15.75" customHeight="1" x14ac:dyDescent="0.25">
      <c r="A379" s="26"/>
      <c r="B379" s="26"/>
    </row>
    <row r="380" spans="1:2" ht="15.75" customHeight="1" x14ac:dyDescent="0.25">
      <c r="A380" s="26"/>
      <c r="B380" s="26"/>
    </row>
    <row r="381" spans="1:2" ht="15.75" customHeight="1" x14ac:dyDescent="0.25">
      <c r="A381" s="26"/>
      <c r="B381" s="26"/>
    </row>
    <row r="382" spans="1:2" ht="15.75" customHeight="1" x14ac:dyDescent="0.25">
      <c r="A382" s="26"/>
      <c r="B382" s="26"/>
    </row>
    <row r="383" spans="1:2" ht="15.75" customHeight="1" x14ac:dyDescent="0.25">
      <c r="A383" s="26"/>
      <c r="B383" s="26"/>
    </row>
    <row r="384" spans="1:2" ht="15.75" customHeight="1" x14ac:dyDescent="0.25">
      <c r="A384" s="26"/>
      <c r="B384" s="26"/>
    </row>
    <row r="385" spans="1:2" ht="15.75" customHeight="1" x14ac:dyDescent="0.25">
      <c r="A385" s="26"/>
      <c r="B385" s="26"/>
    </row>
    <row r="386" spans="1:2" ht="15.75" customHeight="1" x14ac:dyDescent="0.25">
      <c r="A386" s="26"/>
      <c r="B386" s="26"/>
    </row>
    <row r="387" spans="1:2" ht="15.75" customHeight="1" x14ac:dyDescent="0.25">
      <c r="A387" s="26"/>
      <c r="B387" s="26"/>
    </row>
    <row r="388" spans="1:2" ht="15.75" customHeight="1" x14ac:dyDescent="0.25">
      <c r="A388" s="26"/>
      <c r="B388" s="26"/>
    </row>
    <row r="389" spans="1:2" ht="15.75" customHeight="1" x14ac:dyDescent="0.25">
      <c r="A389" s="26"/>
      <c r="B389" s="26"/>
    </row>
    <row r="390" spans="1:2" ht="15.75" customHeight="1" x14ac:dyDescent="0.25">
      <c r="A390" s="26"/>
      <c r="B390" s="26"/>
    </row>
    <row r="391" spans="1:2" ht="15.75" customHeight="1" x14ac:dyDescent="0.25">
      <c r="A391" s="26"/>
      <c r="B391" s="26"/>
    </row>
    <row r="392" spans="1:2" ht="15.75" customHeight="1" x14ac:dyDescent="0.25">
      <c r="A392" s="26"/>
      <c r="B392" s="26"/>
    </row>
    <row r="393" spans="1:2" ht="15.75" customHeight="1" x14ac:dyDescent="0.25">
      <c r="A393" s="26"/>
      <c r="B393" s="26"/>
    </row>
    <row r="394" spans="1:2" ht="15.75" customHeight="1" x14ac:dyDescent="0.25">
      <c r="A394" s="26"/>
      <c r="B394" s="26"/>
    </row>
    <row r="395" spans="1:2" ht="15.75" customHeight="1" x14ac:dyDescent="0.25">
      <c r="A395" s="26"/>
      <c r="B395" s="26"/>
    </row>
    <row r="396" spans="1:2" ht="15.75" customHeight="1" x14ac:dyDescent="0.25">
      <c r="A396" s="26"/>
      <c r="B396" s="26"/>
    </row>
    <row r="397" spans="1:2" ht="15.75" customHeight="1" x14ac:dyDescent="0.25">
      <c r="A397" s="26"/>
      <c r="B397" s="26"/>
    </row>
    <row r="398" spans="1:2" ht="15.75" customHeight="1" x14ac:dyDescent="0.25">
      <c r="A398" s="26"/>
      <c r="B398" s="26"/>
    </row>
    <row r="399" spans="1:2" ht="15.75" customHeight="1" x14ac:dyDescent="0.25">
      <c r="A399" s="26"/>
      <c r="B399" s="26"/>
    </row>
    <row r="400" spans="1:2" ht="15.75" customHeight="1" x14ac:dyDescent="0.25">
      <c r="A400" s="26"/>
      <c r="B400" s="26"/>
    </row>
    <row r="401" spans="1:2" ht="15.75" customHeight="1" x14ac:dyDescent="0.25">
      <c r="A401" s="26"/>
      <c r="B401" s="26"/>
    </row>
    <row r="402" spans="1:2" ht="15.75" customHeight="1" x14ac:dyDescent="0.25">
      <c r="A402" s="26"/>
      <c r="B402" s="26"/>
    </row>
    <row r="403" spans="1:2" ht="15.75" customHeight="1" x14ac:dyDescent="0.25">
      <c r="A403" s="26"/>
      <c r="B403" s="26"/>
    </row>
    <row r="404" spans="1:2" ht="15.75" customHeight="1" x14ac:dyDescent="0.25">
      <c r="A404" s="26"/>
      <c r="B404" s="26"/>
    </row>
    <row r="405" spans="1:2" ht="15.75" customHeight="1" x14ac:dyDescent="0.25">
      <c r="A405" s="26"/>
      <c r="B405" s="26"/>
    </row>
    <row r="406" spans="1:2" ht="15.75" customHeight="1" x14ac:dyDescent="0.25">
      <c r="A406" s="26"/>
      <c r="B406" s="26"/>
    </row>
    <row r="407" spans="1:2" ht="15.75" customHeight="1" x14ac:dyDescent="0.25">
      <c r="A407" s="26"/>
      <c r="B407" s="26"/>
    </row>
    <row r="408" spans="1:2" ht="15.75" customHeight="1" x14ac:dyDescent="0.25">
      <c r="A408" s="26"/>
      <c r="B408" s="26"/>
    </row>
    <row r="409" spans="1:2" ht="15.75" customHeight="1" x14ac:dyDescent="0.25">
      <c r="A409" s="26"/>
      <c r="B409" s="26"/>
    </row>
    <row r="410" spans="1:2" ht="15.75" customHeight="1" x14ac:dyDescent="0.25">
      <c r="A410" s="26"/>
      <c r="B410" s="26"/>
    </row>
    <row r="411" spans="1:2" ht="15.75" customHeight="1" x14ac:dyDescent="0.25">
      <c r="A411" s="26"/>
      <c r="B411" s="26"/>
    </row>
    <row r="412" spans="1:2" ht="15.75" customHeight="1" x14ac:dyDescent="0.25">
      <c r="A412" s="26"/>
      <c r="B412" s="26"/>
    </row>
    <row r="413" spans="1:2" ht="15.75" customHeight="1" x14ac:dyDescent="0.25">
      <c r="A413" s="26"/>
      <c r="B413" s="26"/>
    </row>
    <row r="414" spans="1:2" ht="15.75" customHeight="1" x14ac:dyDescent="0.25">
      <c r="A414" s="26"/>
      <c r="B414" s="26"/>
    </row>
    <row r="415" spans="1:2" ht="15.75" customHeight="1" x14ac:dyDescent="0.25">
      <c r="A415" s="26"/>
      <c r="B415" s="26"/>
    </row>
    <row r="416" spans="1:2" ht="15.75" customHeight="1" x14ac:dyDescent="0.25">
      <c r="A416" s="26"/>
      <c r="B416" s="26"/>
    </row>
    <row r="417" spans="1:2" ht="15.75" customHeight="1" x14ac:dyDescent="0.25">
      <c r="A417" s="26"/>
      <c r="B417" s="26"/>
    </row>
    <row r="418" spans="1:2" ht="15.75" customHeight="1" x14ac:dyDescent="0.25">
      <c r="A418" s="26"/>
      <c r="B418" s="26"/>
    </row>
    <row r="419" spans="1:2" ht="15.75" customHeight="1" x14ac:dyDescent="0.25">
      <c r="A419" s="26"/>
      <c r="B419" s="26"/>
    </row>
    <row r="420" spans="1:2" ht="15.75" customHeight="1" x14ac:dyDescent="0.25">
      <c r="A420" s="26"/>
      <c r="B420" s="26"/>
    </row>
    <row r="421" spans="1:2" ht="15.75" customHeight="1" x14ac:dyDescent="0.25">
      <c r="A421" s="26"/>
      <c r="B421" s="26"/>
    </row>
    <row r="422" spans="1:2" ht="15.75" customHeight="1" x14ac:dyDescent="0.25">
      <c r="A422" s="26"/>
      <c r="B422" s="26"/>
    </row>
    <row r="423" spans="1:2" ht="15.75" customHeight="1" x14ac:dyDescent="0.25">
      <c r="A423" s="26"/>
      <c r="B423" s="26"/>
    </row>
    <row r="424" spans="1:2" ht="15.75" customHeight="1" x14ac:dyDescent="0.25">
      <c r="A424" s="26"/>
      <c r="B424" s="26"/>
    </row>
    <row r="425" spans="1:2" ht="15.75" customHeight="1" x14ac:dyDescent="0.25">
      <c r="A425" s="26"/>
      <c r="B425" s="26"/>
    </row>
    <row r="426" spans="1:2" ht="15.75" customHeight="1" x14ac:dyDescent="0.25">
      <c r="A426" s="26"/>
      <c r="B426" s="26"/>
    </row>
    <row r="427" spans="1:2" ht="15.75" customHeight="1" x14ac:dyDescent="0.25">
      <c r="A427" s="26"/>
      <c r="B427" s="26"/>
    </row>
    <row r="428" spans="1:2" ht="15.75" customHeight="1" x14ac:dyDescent="0.25">
      <c r="A428" s="26"/>
      <c r="B428" s="26"/>
    </row>
    <row r="429" spans="1:2" ht="15.75" customHeight="1" x14ac:dyDescent="0.25">
      <c r="A429" s="26"/>
      <c r="B429" s="26"/>
    </row>
    <row r="430" spans="1:2" ht="15.75" customHeight="1" x14ac:dyDescent="0.25">
      <c r="A430" s="26"/>
      <c r="B430" s="26"/>
    </row>
    <row r="431" spans="1:2" ht="15.75" customHeight="1" x14ac:dyDescent="0.25">
      <c r="A431" s="26"/>
      <c r="B431" s="26"/>
    </row>
    <row r="432" spans="1:2" ht="15.75" customHeight="1" x14ac:dyDescent="0.25">
      <c r="A432" s="26"/>
      <c r="B432" s="26"/>
    </row>
    <row r="433" spans="1:2" ht="15.75" customHeight="1" x14ac:dyDescent="0.25">
      <c r="A433" s="26"/>
      <c r="B433" s="26"/>
    </row>
    <row r="434" spans="1:2" ht="15.75" customHeight="1" x14ac:dyDescent="0.25">
      <c r="A434" s="26"/>
      <c r="B434" s="26"/>
    </row>
    <row r="435" spans="1:2" ht="15.75" customHeight="1" x14ac:dyDescent="0.25">
      <c r="A435" s="26"/>
      <c r="B435" s="26"/>
    </row>
    <row r="436" spans="1:2" ht="15.75" customHeight="1" x14ac:dyDescent="0.25">
      <c r="A436" s="26"/>
      <c r="B436" s="26"/>
    </row>
    <row r="437" spans="1:2" ht="15.75" customHeight="1" x14ac:dyDescent="0.25">
      <c r="A437" s="26"/>
      <c r="B437" s="26"/>
    </row>
    <row r="438" spans="1:2" ht="15.75" customHeight="1" x14ac:dyDescent="0.25">
      <c r="A438" s="26"/>
      <c r="B438" s="26"/>
    </row>
    <row r="439" spans="1:2" ht="15.75" customHeight="1" x14ac:dyDescent="0.25">
      <c r="A439" s="26"/>
      <c r="B439" s="26"/>
    </row>
    <row r="440" spans="1:2" ht="15.75" customHeight="1" x14ac:dyDescent="0.25">
      <c r="A440" s="26"/>
      <c r="B440" s="26"/>
    </row>
    <row r="441" spans="1:2" ht="15.75" customHeight="1" x14ac:dyDescent="0.25">
      <c r="A441" s="26"/>
      <c r="B441" s="26"/>
    </row>
    <row r="442" spans="1:2" ht="15.75" customHeight="1" x14ac:dyDescent="0.25">
      <c r="A442" s="26"/>
      <c r="B442" s="26"/>
    </row>
    <row r="443" spans="1:2" ht="15.75" customHeight="1" x14ac:dyDescent="0.25">
      <c r="A443" s="26"/>
      <c r="B443" s="26"/>
    </row>
    <row r="444" spans="1:2" ht="15.75" customHeight="1" x14ac:dyDescent="0.25">
      <c r="A444" s="26"/>
      <c r="B444" s="26"/>
    </row>
    <row r="445" spans="1:2" ht="15.75" customHeight="1" x14ac:dyDescent="0.25">
      <c r="A445" s="26"/>
      <c r="B445" s="26"/>
    </row>
    <row r="446" spans="1:2" ht="15.75" customHeight="1" x14ac:dyDescent="0.25">
      <c r="A446" s="26"/>
      <c r="B446" s="26"/>
    </row>
    <row r="447" spans="1:2" ht="15.75" customHeight="1" x14ac:dyDescent="0.25">
      <c r="A447" s="26"/>
      <c r="B447" s="26"/>
    </row>
    <row r="448" spans="1:2" ht="15.75" customHeight="1" x14ac:dyDescent="0.25">
      <c r="A448" s="26"/>
      <c r="B448" s="26"/>
    </row>
    <row r="449" spans="1:2" ht="15.75" customHeight="1" x14ac:dyDescent="0.25">
      <c r="A449" s="26"/>
      <c r="B449" s="26"/>
    </row>
    <row r="450" spans="1:2" ht="15.75" customHeight="1" x14ac:dyDescent="0.25">
      <c r="A450" s="26"/>
      <c r="B450" s="26"/>
    </row>
    <row r="451" spans="1:2" ht="15.75" customHeight="1" x14ac:dyDescent="0.25">
      <c r="A451" s="26"/>
      <c r="B451" s="26"/>
    </row>
    <row r="452" spans="1:2" ht="15.75" customHeight="1" x14ac:dyDescent="0.25">
      <c r="A452" s="26"/>
      <c r="B452" s="26"/>
    </row>
    <row r="453" spans="1:2" ht="15.75" customHeight="1" x14ac:dyDescent="0.25">
      <c r="A453" s="26"/>
      <c r="B453" s="26"/>
    </row>
    <row r="454" spans="1:2" ht="15.75" customHeight="1" x14ac:dyDescent="0.25">
      <c r="A454" s="26"/>
      <c r="B454" s="26"/>
    </row>
    <row r="455" spans="1:2" ht="15.75" customHeight="1" x14ac:dyDescent="0.25">
      <c r="A455" s="26"/>
      <c r="B455" s="26"/>
    </row>
    <row r="456" spans="1:2" ht="15.75" customHeight="1" x14ac:dyDescent="0.25">
      <c r="A456" s="26"/>
      <c r="B456" s="26"/>
    </row>
    <row r="457" spans="1:2" ht="15.75" customHeight="1" x14ac:dyDescent="0.25">
      <c r="A457" s="26"/>
      <c r="B457" s="26"/>
    </row>
    <row r="458" spans="1:2" ht="15.75" customHeight="1" x14ac:dyDescent="0.25">
      <c r="A458" s="26"/>
      <c r="B458" s="26"/>
    </row>
    <row r="459" spans="1:2" ht="15.75" customHeight="1" x14ac:dyDescent="0.25">
      <c r="A459" s="26"/>
      <c r="B459" s="26"/>
    </row>
    <row r="460" spans="1:2" ht="15.75" customHeight="1" x14ac:dyDescent="0.25">
      <c r="A460" s="26"/>
      <c r="B460" s="26"/>
    </row>
    <row r="461" spans="1:2" ht="15.75" customHeight="1" x14ac:dyDescent="0.25">
      <c r="A461" s="26"/>
      <c r="B461" s="26"/>
    </row>
    <row r="462" spans="1:2" ht="15.75" customHeight="1" x14ac:dyDescent="0.25">
      <c r="A462" s="26"/>
      <c r="B462" s="26"/>
    </row>
    <row r="463" spans="1:2" ht="15.75" customHeight="1" x14ac:dyDescent="0.25">
      <c r="A463" s="26"/>
      <c r="B463" s="26"/>
    </row>
    <row r="464" spans="1:2" ht="15.75" customHeight="1" x14ac:dyDescent="0.25">
      <c r="A464" s="26"/>
      <c r="B464" s="26"/>
    </row>
    <row r="465" spans="1:2" ht="15.75" customHeight="1" x14ac:dyDescent="0.25">
      <c r="A465" s="26"/>
      <c r="B465" s="26"/>
    </row>
    <row r="466" spans="1:2" ht="15.75" customHeight="1" x14ac:dyDescent="0.25">
      <c r="A466" s="26"/>
      <c r="B466" s="26"/>
    </row>
    <row r="467" spans="1:2" ht="15.75" customHeight="1" x14ac:dyDescent="0.25">
      <c r="A467" s="26"/>
      <c r="B467" s="26"/>
    </row>
    <row r="468" spans="1:2" ht="15.75" customHeight="1" x14ac:dyDescent="0.25">
      <c r="A468" s="26"/>
      <c r="B468" s="26"/>
    </row>
    <row r="469" spans="1:2" ht="15.75" customHeight="1" x14ac:dyDescent="0.25">
      <c r="A469" s="26"/>
      <c r="B469" s="26"/>
    </row>
    <row r="470" spans="1:2" ht="15.75" customHeight="1" x14ac:dyDescent="0.25">
      <c r="A470" s="26"/>
      <c r="B470" s="26"/>
    </row>
    <row r="471" spans="1:2" ht="15.75" customHeight="1" x14ac:dyDescent="0.25">
      <c r="A471" s="26"/>
      <c r="B471" s="26"/>
    </row>
    <row r="472" spans="1:2" ht="15.75" customHeight="1" x14ac:dyDescent="0.25">
      <c r="A472" s="26"/>
      <c r="B472" s="26"/>
    </row>
    <row r="473" spans="1:2" ht="15.75" customHeight="1" x14ac:dyDescent="0.25">
      <c r="A473" s="26"/>
      <c r="B473" s="26"/>
    </row>
    <row r="474" spans="1:2" ht="15.75" customHeight="1" x14ac:dyDescent="0.25">
      <c r="A474" s="26"/>
      <c r="B474" s="26"/>
    </row>
    <row r="475" spans="1:2" ht="15.75" customHeight="1" x14ac:dyDescent="0.25">
      <c r="A475" s="26"/>
      <c r="B475" s="26"/>
    </row>
    <row r="476" spans="1:2" ht="15.75" customHeight="1" x14ac:dyDescent="0.25">
      <c r="A476" s="26"/>
      <c r="B476" s="26"/>
    </row>
    <row r="477" spans="1:2" ht="15.75" customHeight="1" x14ac:dyDescent="0.25">
      <c r="A477" s="26"/>
      <c r="B477" s="26"/>
    </row>
    <row r="478" spans="1:2" ht="15.75" customHeight="1" x14ac:dyDescent="0.25">
      <c r="A478" s="26"/>
      <c r="B478" s="26"/>
    </row>
    <row r="479" spans="1:2" ht="15.75" customHeight="1" x14ac:dyDescent="0.25">
      <c r="A479" s="26"/>
      <c r="B479" s="26"/>
    </row>
    <row r="480" spans="1:2" ht="15.75" customHeight="1" x14ac:dyDescent="0.25">
      <c r="A480" s="26"/>
      <c r="B480" s="26"/>
    </row>
    <row r="481" spans="1:2" ht="15.75" customHeight="1" x14ac:dyDescent="0.25">
      <c r="A481" s="26"/>
      <c r="B481" s="26"/>
    </row>
    <row r="482" spans="1:2" ht="15.75" customHeight="1" x14ac:dyDescent="0.25">
      <c r="A482" s="26"/>
      <c r="B482" s="26"/>
    </row>
    <row r="483" spans="1:2" ht="15.75" customHeight="1" x14ac:dyDescent="0.25">
      <c r="A483" s="26"/>
      <c r="B483" s="26"/>
    </row>
    <row r="484" spans="1:2" ht="15.75" customHeight="1" x14ac:dyDescent="0.25">
      <c r="A484" s="26"/>
      <c r="B484" s="26"/>
    </row>
    <row r="485" spans="1:2" ht="15.75" customHeight="1" x14ac:dyDescent="0.25">
      <c r="A485" s="26"/>
      <c r="B485" s="26"/>
    </row>
    <row r="486" spans="1:2" ht="15.75" customHeight="1" x14ac:dyDescent="0.25">
      <c r="A486" s="26"/>
      <c r="B486" s="26"/>
    </row>
    <row r="487" spans="1:2" ht="15.75" customHeight="1" x14ac:dyDescent="0.25">
      <c r="A487" s="26"/>
      <c r="B487" s="26"/>
    </row>
    <row r="488" spans="1:2" ht="15.75" customHeight="1" x14ac:dyDescent="0.25">
      <c r="A488" s="26"/>
      <c r="B488" s="26"/>
    </row>
    <row r="489" spans="1:2" ht="15.75" customHeight="1" x14ac:dyDescent="0.25">
      <c r="A489" s="26"/>
      <c r="B489" s="26"/>
    </row>
    <row r="490" spans="1:2" ht="15.75" customHeight="1" x14ac:dyDescent="0.25">
      <c r="A490" s="26"/>
      <c r="B490" s="26"/>
    </row>
    <row r="491" spans="1:2" ht="15.75" customHeight="1" x14ac:dyDescent="0.25">
      <c r="A491" s="26"/>
      <c r="B491" s="26"/>
    </row>
    <row r="492" spans="1:2" ht="15.75" customHeight="1" x14ac:dyDescent="0.25">
      <c r="A492" s="26"/>
      <c r="B492" s="26"/>
    </row>
    <row r="493" spans="1:2" ht="15.75" customHeight="1" x14ac:dyDescent="0.25">
      <c r="A493" s="26"/>
      <c r="B493" s="26"/>
    </row>
    <row r="494" spans="1:2" ht="15.75" customHeight="1" x14ac:dyDescent="0.25">
      <c r="A494" s="26"/>
      <c r="B494" s="26"/>
    </row>
    <row r="495" spans="1:2" ht="15.75" customHeight="1" x14ac:dyDescent="0.25">
      <c r="A495" s="26"/>
      <c r="B495" s="26"/>
    </row>
    <row r="496" spans="1:2" ht="15.75" customHeight="1" x14ac:dyDescent="0.25">
      <c r="A496" s="26"/>
      <c r="B496" s="26"/>
    </row>
    <row r="497" spans="1:2" ht="15.75" customHeight="1" x14ac:dyDescent="0.25">
      <c r="A497" s="26"/>
      <c r="B497" s="26"/>
    </row>
    <row r="498" spans="1:2" ht="15.75" customHeight="1" x14ac:dyDescent="0.25">
      <c r="A498" s="26"/>
      <c r="B498" s="26"/>
    </row>
    <row r="499" spans="1:2" ht="15.75" customHeight="1" x14ac:dyDescent="0.25">
      <c r="A499" s="26"/>
      <c r="B499" s="26"/>
    </row>
    <row r="500" spans="1:2" ht="15.75" customHeight="1" x14ac:dyDescent="0.25">
      <c r="A500" s="26"/>
      <c r="B500" s="26"/>
    </row>
    <row r="501" spans="1:2" ht="15.75" customHeight="1" x14ac:dyDescent="0.25">
      <c r="A501" s="26"/>
      <c r="B501" s="26"/>
    </row>
    <row r="502" spans="1:2" ht="15.75" customHeight="1" x14ac:dyDescent="0.25">
      <c r="A502" s="26"/>
      <c r="B502" s="26"/>
    </row>
    <row r="503" spans="1:2" ht="15.75" customHeight="1" x14ac:dyDescent="0.25">
      <c r="A503" s="26"/>
      <c r="B503" s="26"/>
    </row>
    <row r="504" spans="1:2" ht="15.75" customHeight="1" x14ac:dyDescent="0.25">
      <c r="A504" s="26"/>
      <c r="B504" s="26"/>
    </row>
    <row r="505" spans="1:2" ht="15.75" customHeight="1" x14ac:dyDescent="0.25">
      <c r="A505" s="26"/>
      <c r="B505" s="26"/>
    </row>
    <row r="506" spans="1:2" ht="15.75" customHeight="1" x14ac:dyDescent="0.25">
      <c r="A506" s="26"/>
      <c r="B506" s="26"/>
    </row>
    <row r="507" spans="1:2" ht="15.75" customHeight="1" x14ac:dyDescent="0.25">
      <c r="A507" s="26"/>
      <c r="B507" s="26"/>
    </row>
    <row r="508" spans="1:2" ht="15.75" customHeight="1" x14ac:dyDescent="0.25">
      <c r="A508" s="26"/>
      <c r="B508" s="26"/>
    </row>
    <row r="509" spans="1:2" ht="15.75" customHeight="1" x14ac:dyDescent="0.25">
      <c r="A509" s="26"/>
      <c r="B509" s="26"/>
    </row>
    <row r="510" spans="1:2" ht="15.75" customHeight="1" x14ac:dyDescent="0.25">
      <c r="A510" s="26"/>
      <c r="B510" s="26"/>
    </row>
    <row r="511" spans="1:2" ht="15.75" customHeight="1" x14ac:dyDescent="0.25">
      <c r="A511" s="26"/>
      <c r="B511" s="26"/>
    </row>
    <row r="512" spans="1:2" ht="15.75" customHeight="1" x14ac:dyDescent="0.25">
      <c r="A512" s="26"/>
      <c r="B512" s="26"/>
    </row>
    <row r="513" spans="1:2" ht="15.75" customHeight="1" x14ac:dyDescent="0.25">
      <c r="A513" s="26"/>
      <c r="B513" s="26"/>
    </row>
    <row r="514" spans="1:2" ht="15.75" customHeight="1" x14ac:dyDescent="0.25">
      <c r="A514" s="26"/>
      <c r="B514" s="26"/>
    </row>
    <row r="515" spans="1:2" ht="15.75" customHeight="1" x14ac:dyDescent="0.25">
      <c r="A515" s="26"/>
      <c r="B515" s="26"/>
    </row>
    <row r="516" spans="1:2" ht="15.75" customHeight="1" x14ac:dyDescent="0.25">
      <c r="A516" s="26"/>
      <c r="B516" s="26"/>
    </row>
    <row r="517" spans="1:2" ht="15.75" customHeight="1" x14ac:dyDescent="0.25">
      <c r="A517" s="26"/>
      <c r="B517" s="26"/>
    </row>
    <row r="518" spans="1:2" ht="15.75" customHeight="1" x14ac:dyDescent="0.25">
      <c r="A518" s="26"/>
      <c r="B518" s="26"/>
    </row>
    <row r="519" spans="1:2" ht="15.75" customHeight="1" x14ac:dyDescent="0.25">
      <c r="A519" s="26"/>
      <c r="B519" s="26"/>
    </row>
    <row r="520" spans="1:2" ht="15.75" customHeight="1" x14ac:dyDescent="0.25">
      <c r="A520" s="26"/>
      <c r="B520" s="26"/>
    </row>
    <row r="521" spans="1:2" ht="15.75" customHeight="1" x14ac:dyDescent="0.25">
      <c r="A521" s="26"/>
      <c r="B521" s="26"/>
    </row>
    <row r="522" spans="1:2" ht="15.75" customHeight="1" x14ac:dyDescent="0.25">
      <c r="A522" s="26"/>
      <c r="B522" s="26"/>
    </row>
    <row r="523" spans="1:2" ht="15.75" customHeight="1" x14ac:dyDescent="0.25">
      <c r="A523" s="26"/>
      <c r="B523" s="26"/>
    </row>
    <row r="524" spans="1:2" ht="15.75" customHeight="1" x14ac:dyDescent="0.25">
      <c r="A524" s="26"/>
      <c r="B524" s="26"/>
    </row>
    <row r="525" spans="1:2" ht="15.75" customHeight="1" x14ac:dyDescent="0.25">
      <c r="A525" s="26"/>
      <c r="B525" s="26"/>
    </row>
    <row r="526" spans="1:2" ht="15.75" customHeight="1" x14ac:dyDescent="0.25">
      <c r="A526" s="26"/>
      <c r="B526" s="26"/>
    </row>
    <row r="527" spans="1:2" ht="15.75" customHeight="1" x14ac:dyDescent="0.25">
      <c r="A527" s="26"/>
      <c r="B527" s="26"/>
    </row>
    <row r="528" spans="1:2" ht="15.75" customHeight="1" x14ac:dyDescent="0.25">
      <c r="A528" s="26"/>
      <c r="B528" s="26"/>
    </row>
    <row r="529" spans="1:2" ht="15.75" customHeight="1" x14ac:dyDescent="0.25">
      <c r="A529" s="26"/>
      <c r="B529" s="26"/>
    </row>
    <row r="530" spans="1:2" ht="15.75" customHeight="1" x14ac:dyDescent="0.25">
      <c r="A530" s="26"/>
      <c r="B530" s="26"/>
    </row>
    <row r="531" spans="1:2" ht="15.75" customHeight="1" x14ac:dyDescent="0.25">
      <c r="A531" s="26"/>
      <c r="B531" s="26"/>
    </row>
    <row r="532" spans="1:2" ht="15.75" customHeight="1" x14ac:dyDescent="0.25">
      <c r="A532" s="26"/>
      <c r="B532" s="26"/>
    </row>
    <row r="533" spans="1:2" ht="15.75" customHeight="1" x14ac:dyDescent="0.25">
      <c r="A533" s="26"/>
      <c r="B533" s="26"/>
    </row>
    <row r="534" spans="1:2" ht="15.75" customHeight="1" x14ac:dyDescent="0.25">
      <c r="A534" s="26"/>
      <c r="B534" s="26"/>
    </row>
    <row r="535" spans="1:2" ht="15.75" customHeight="1" x14ac:dyDescent="0.25">
      <c r="A535" s="26"/>
      <c r="B535" s="26"/>
    </row>
    <row r="536" spans="1:2" ht="15.75" customHeight="1" x14ac:dyDescent="0.25">
      <c r="A536" s="26"/>
      <c r="B536" s="26"/>
    </row>
    <row r="537" spans="1:2" ht="15.75" customHeight="1" x14ac:dyDescent="0.25">
      <c r="A537" s="26"/>
      <c r="B537" s="26"/>
    </row>
    <row r="538" spans="1:2" ht="15.75" customHeight="1" x14ac:dyDescent="0.25">
      <c r="A538" s="26"/>
      <c r="B538" s="26"/>
    </row>
    <row r="539" spans="1:2" ht="15.75" customHeight="1" x14ac:dyDescent="0.25">
      <c r="A539" s="26"/>
      <c r="B539" s="26"/>
    </row>
    <row r="540" spans="1:2" ht="15.75" customHeight="1" x14ac:dyDescent="0.25">
      <c r="A540" s="26"/>
      <c r="B540" s="26"/>
    </row>
    <row r="541" spans="1:2" ht="15.75" customHeight="1" x14ac:dyDescent="0.25">
      <c r="A541" s="26"/>
      <c r="B541" s="26"/>
    </row>
    <row r="542" spans="1:2" ht="15.75" customHeight="1" x14ac:dyDescent="0.25">
      <c r="A542" s="26"/>
      <c r="B542" s="26"/>
    </row>
    <row r="543" spans="1:2" ht="15.75" customHeight="1" x14ac:dyDescent="0.25">
      <c r="A543" s="26"/>
      <c r="B543" s="26"/>
    </row>
    <row r="544" spans="1:2" ht="15.75" customHeight="1" x14ac:dyDescent="0.25">
      <c r="A544" s="26"/>
      <c r="B544" s="26"/>
    </row>
    <row r="545" spans="1:2" ht="15.75" customHeight="1" x14ac:dyDescent="0.25">
      <c r="A545" s="26"/>
      <c r="B545" s="26"/>
    </row>
    <row r="546" spans="1:2" ht="15.75" customHeight="1" x14ac:dyDescent="0.25">
      <c r="A546" s="26"/>
      <c r="B546" s="26"/>
    </row>
    <row r="547" spans="1:2" ht="15.75" customHeight="1" x14ac:dyDescent="0.25">
      <c r="A547" s="26"/>
      <c r="B547" s="26"/>
    </row>
    <row r="548" spans="1:2" ht="15.75" customHeight="1" x14ac:dyDescent="0.25">
      <c r="A548" s="26"/>
      <c r="B548" s="26"/>
    </row>
    <row r="549" spans="1:2" ht="15.75" customHeight="1" x14ac:dyDescent="0.25">
      <c r="A549" s="26"/>
      <c r="B549" s="26"/>
    </row>
    <row r="550" spans="1:2" ht="15.75" customHeight="1" x14ac:dyDescent="0.25">
      <c r="A550" s="26"/>
      <c r="B550" s="26"/>
    </row>
    <row r="551" spans="1:2" ht="15.75" customHeight="1" x14ac:dyDescent="0.25">
      <c r="A551" s="26"/>
      <c r="B551" s="26"/>
    </row>
    <row r="552" spans="1:2" ht="15.75" customHeight="1" x14ac:dyDescent="0.25">
      <c r="A552" s="26"/>
      <c r="B552" s="26"/>
    </row>
    <row r="553" spans="1:2" ht="15.75" customHeight="1" x14ac:dyDescent="0.25">
      <c r="A553" s="26"/>
      <c r="B553" s="26"/>
    </row>
    <row r="554" spans="1:2" ht="15.75" customHeight="1" x14ac:dyDescent="0.25">
      <c r="A554" s="26"/>
      <c r="B554" s="26"/>
    </row>
    <row r="555" spans="1:2" ht="15.75" customHeight="1" x14ac:dyDescent="0.25">
      <c r="A555" s="26"/>
      <c r="B555" s="26"/>
    </row>
    <row r="556" spans="1:2" ht="15.75" customHeight="1" x14ac:dyDescent="0.25">
      <c r="A556" s="26"/>
      <c r="B556" s="26"/>
    </row>
    <row r="557" spans="1:2" ht="15.75" customHeight="1" x14ac:dyDescent="0.25">
      <c r="A557" s="26"/>
      <c r="B557" s="26"/>
    </row>
    <row r="558" spans="1:2" ht="15.75" customHeight="1" x14ac:dyDescent="0.25">
      <c r="A558" s="26"/>
      <c r="B558" s="26"/>
    </row>
    <row r="559" spans="1:2" ht="15.75" customHeight="1" x14ac:dyDescent="0.25">
      <c r="A559" s="26"/>
      <c r="B559" s="26"/>
    </row>
    <row r="560" spans="1:2" ht="15.75" customHeight="1" x14ac:dyDescent="0.25">
      <c r="A560" s="26"/>
      <c r="B560" s="26"/>
    </row>
    <row r="561" spans="1:2" ht="15.75" customHeight="1" x14ac:dyDescent="0.25">
      <c r="A561" s="26"/>
      <c r="B561" s="26"/>
    </row>
    <row r="562" spans="1:2" ht="15.75" customHeight="1" x14ac:dyDescent="0.25">
      <c r="A562" s="26"/>
      <c r="B562" s="26"/>
    </row>
    <row r="563" spans="1:2" ht="15.75" customHeight="1" x14ac:dyDescent="0.25">
      <c r="A563" s="26"/>
      <c r="B563" s="26"/>
    </row>
    <row r="564" spans="1:2" ht="15.75" customHeight="1" x14ac:dyDescent="0.25">
      <c r="A564" s="26"/>
      <c r="B564" s="26"/>
    </row>
    <row r="565" spans="1:2" ht="15.75" customHeight="1" x14ac:dyDescent="0.25">
      <c r="A565" s="26"/>
      <c r="B565" s="26"/>
    </row>
    <row r="566" spans="1:2" ht="15.75" customHeight="1" x14ac:dyDescent="0.25">
      <c r="A566" s="26"/>
      <c r="B566" s="26"/>
    </row>
    <row r="567" spans="1:2" ht="15.75" customHeight="1" x14ac:dyDescent="0.25">
      <c r="A567" s="26"/>
      <c r="B567" s="26"/>
    </row>
    <row r="568" spans="1:2" ht="15.75" customHeight="1" x14ac:dyDescent="0.25">
      <c r="A568" s="26"/>
      <c r="B568" s="26"/>
    </row>
    <row r="569" spans="1:2" ht="15.75" customHeight="1" x14ac:dyDescent="0.25">
      <c r="A569" s="26"/>
      <c r="B569" s="26"/>
    </row>
    <row r="570" spans="1:2" ht="15.75" customHeight="1" x14ac:dyDescent="0.25">
      <c r="A570" s="26"/>
      <c r="B570" s="26"/>
    </row>
    <row r="571" spans="1:2" ht="15.75" customHeight="1" x14ac:dyDescent="0.25">
      <c r="A571" s="26"/>
      <c r="B571" s="26"/>
    </row>
    <row r="572" spans="1:2" ht="15.75" customHeight="1" x14ac:dyDescent="0.25">
      <c r="A572" s="26"/>
      <c r="B572" s="26"/>
    </row>
    <row r="573" spans="1:2" ht="15.75" customHeight="1" x14ac:dyDescent="0.25">
      <c r="A573" s="26"/>
      <c r="B573" s="26"/>
    </row>
    <row r="574" spans="1:2" ht="15.75" customHeight="1" x14ac:dyDescent="0.25">
      <c r="A574" s="26"/>
      <c r="B574" s="26"/>
    </row>
    <row r="575" spans="1:2" ht="15.75" customHeight="1" x14ac:dyDescent="0.25">
      <c r="A575" s="26"/>
      <c r="B575" s="26"/>
    </row>
    <row r="576" spans="1:2" ht="15.75" customHeight="1" x14ac:dyDescent="0.25">
      <c r="A576" s="26"/>
      <c r="B576" s="26"/>
    </row>
    <row r="577" spans="1:2" ht="15.75" customHeight="1" x14ac:dyDescent="0.25">
      <c r="A577" s="26"/>
      <c r="B577" s="26"/>
    </row>
    <row r="578" spans="1:2" ht="15.75" customHeight="1" x14ac:dyDescent="0.25">
      <c r="A578" s="26"/>
      <c r="B578" s="26"/>
    </row>
    <row r="579" spans="1:2" ht="15.75" customHeight="1" x14ac:dyDescent="0.25">
      <c r="A579" s="26"/>
      <c r="B579" s="26"/>
    </row>
    <row r="580" spans="1:2" ht="15.75" customHeight="1" x14ac:dyDescent="0.25">
      <c r="A580" s="26"/>
      <c r="B580" s="26"/>
    </row>
    <row r="581" spans="1:2" ht="15.75" customHeight="1" x14ac:dyDescent="0.25">
      <c r="A581" s="26"/>
      <c r="B581" s="26"/>
    </row>
    <row r="582" spans="1:2" ht="15.75" customHeight="1" x14ac:dyDescent="0.25">
      <c r="A582" s="26"/>
      <c r="B582" s="26"/>
    </row>
    <row r="583" spans="1:2" ht="15.75" customHeight="1" x14ac:dyDescent="0.25">
      <c r="A583" s="26"/>
      <c r="B583" s="26"/>
    </row>
    <row r="584" spans="1:2" ht="15.75" customHeight="1" x14ac:dyDescent="0.25">
      <c r="A584" s="26"/>
      <c r="B584" s="26"/>
    </row>
    <row r="585" spans="1:2" ht="15.75" customHeight="1" x14ac:dyDescent="0.25">
      <c r="A585" s="26"/>
      <c r="B585" s="26"/>
    </row>
    <row r="586" spans="1:2" ht="15.75" customHeight="1" x14ac:dyDescent="0.25">
      <c r="A586" s="26"/>
      <c r="B586" s="26"/>
    </row>
    <row r="587" spans="1:2" ht="15.75" customHeight="1" x14ac:dyDescent="0.25">
      <c r="A587" s="26"/>
      <c r="B587" s="26"/>
    </row>
    <row r="588" spans="1:2" ht="15.75" customHeight="1" x14ac:dyDescent="0.25">
      <c r="A588" s="26"/>
      <c r="B588" s="26"/>
    </row>
    <row r="589" spans="1:2" ht="15.75" customHeight="1" x14ac:dyDescent="0.25">
      <c r="A589" s="26"/>
      <c r="B589" s="26"/>
    </row>
    <row r="590" spans="1:2" ht="15.75" customHeight="1" x14ac:dyDescent="0.25">
      <c r="A590" s="26"/>
      <c r="B590" s="26"/>
    </row>
    <row r="591" spans="1:2" ht="15.75" customHeight="1" x14ac:dyDescent="0.25">
      <c r="A591" s="26"/>
      <c r="B591" s="26"/>
    </row>
    <row r="592" spans="1:2" ht="15.75" customHeight="1" x14ac:dyDescent="0.25">
      <c r="A592" s="26"/>
      <c r="B592" s="26"/>
    </row>
    <row r="593" spans="1:2" ht="15.75" customHeight="1" x14ac:dyDescent="0.25">
      <c r="A593" s="26"/>
      <c r="B593" s="26"/>
    </row>
    <row r="594" spans="1:2" ht="15.75" customHeight="1" x14ac:dyDescent="0.25">
      <c r="A594" s="26"/>
      <c r="B594" s="26"/>
    </row>
    <row r="595" spans="1:2" ht="15.75" customHeight="1" x14ac:dyDescent="0.25">
      <c r="A595" s="26"/>
      <c r="B595" s="26"/>
    </row>
    <row r="596" spans="1:2" ht="15.75" customHeight="1" x14ac:dyDescent="0.25">
      <c r="A596" s="26"/>
      <c r="B596" s="26"/>
    </row>
    <row r="597" spans="1:2" ht="15.75" customHeight="1" x14ac:dyDescent="0.25">
      <c r="A597" s="26"/>
      <c r="B597" s="26"/>
    </row>
    <row r="598" spans="1:2" ht="15.75" customHeight="1" x14ac:dyDescent="0.25">
      <c r="A598" s="26"/>
      <c r="B598" s="26"/>
    </row>
    <row r="599" spans="1:2" ht="15.75" customHeight="1" x14ac:dyDescent="0.25">
      <c r="A599" s="26"/>
      <c r="B599" s="26"/>
    </row>
    <row r="600" spans="1:2" ht="15.75" customHeight="1" x14ac:dyDescent="0.25">
      <c r="A600" s="26"/>
      <c r="B600" s="26"/>
    </row>
    <row r="601" spans="1:2" ht="15.75" customHeight="1" x14ac:dyDescent="0.25">
      <c r="A601" s="26"/>
      <c r="B601" s="26"/>
    </row>
    <row r="602" spans="1:2" ht="15.75" customHeight="1" x14ac:dyDescent="0.25">
      <c r="A602" s="26"/>
      <c r="B602" s="26"/>
    </row>
    <row r="603" spans="1:2" ht="15.75" customHeight="1" x14ac:dyDescent="0.25">
      <c r="A603" s="26"/>
      <c r="B603" s="26"/>
    </row>
    <row r="604" spans="1:2" ht="15.75" customHeight="1" x14ac:dyDescent="0.25">
      <c r="A604" s="26"/>
      <c r="B604" s="26"/>
    </row>
    <row r="605" spans="1:2" ht="15.75" customHeight="1" x14ac:dyDescent="0.25">
      <c r="A605" s="26"/>
      <c r="B605" s="26"/>
    </row>
    <row r="606" spans="1:2" ht="15.75" customHeight="1" x14ac:dyDescent="0.25">
      <c r="A606" s="26"/>
      <c r="B606" s="26"/>
    </row>
    <row r="607" spans="1:2" ht="15.75" customHeight="1" x14ac:dyDescent="0.25">
      <c r="A607" s="26"/>
      <c r="B607" s="26"/>
    </row>
    <row r="608" spans="1:2" ht="15.75" customHeight="1" x14ac:dyDescent="0.25">
      <c r="A608" s="26"/>
      <c r="B608" s="26"/>
    </row>
    <row r="609" spans="1:2" ht="15.75" customHeight="1" x14ac:dyDescent="0.25">
      <c r="A609" s="26"/>
      <c r="B609" s="26"/>
    </row>
    <row r="610" spans="1:2" ht="15.75" customHeight="1" x14ac:dyDescent="0.25">
      <c r="A610" s="26"/>
      <c r="B610" s="26"/>
    </row>
    <row r="611" spans="1:2" ht="15.75" customHeight="1" x14ac:dyDescent="0.25">
      <c r="A611" s="26"/>
      <c r="B611" s="26"/>
    </row>
    <row r="612" spans="1:2" ht="15.75" customHeight="1" x14ac:dyDescent="0.25">
      <c r="A612" s="26"/>
      <c r="B612" s="26"/>
    </row>
    <row r="613" spans="1:2" ht="15.75" customHeight="1" x14ac:dyDescent="0.25">
      <c r="A613" s="26"/>
      <c r="B613" s="26"/>
    </row>
    <row r="614" spans="1:2" ht="15.75" customHeight="1" x14ac:dyDescent="0.25">
      <c r="A614" s="26"/>
      <c r="B614" s="26"/>
    </row>
    <row r="615" spans="1:2" ht="15.75" customHeight="1" x14ac:dyDescent="0.25">
      <c r="A615" s="26"/>
      <c r="B615" s="26"/>
    </row>
    <row r="616" spans="1:2" ht="15.75" customHeight="1" x14ac:dyDescent="0.25">
      <c r="A616" s="26"/>
      <c r="B616" s="26"/>
    </row>
    <row r="617" spans="1:2" ht="15.75" customHeight="1" x14ac:dyDescent="0.25">
      <c r="A617" s="26"/>
      <c r="B617" s="26"/>
    </row>
    <row r="618" spans="1:2" ht="15.75" customHeight="1" x14ac:dyDescent="0.25">
      <c r="A618" s="26"/>
      <c r="B618" s="26"/>
    </row>
    <row r="619" spans="1:2" ht="15.75" customHeight="1" x14ac:dyDescent="0.25">
      <c r="A619" s="26"/>
      <c r="B619" s="26"/>
    </row>
    <row r="620" spans="1:2" ht="15.75" customHeight="1" x14ac:dyDescent="0.25">
      <c r="A620" s="26"/>
      <c r="B620" s="26"/>
    </row>
    <row r="621" spans="1:2" ht="15.75" customHeight="1" x14ac:dyDescent="0.25">
      <c r="A621" s="26"/>
      <c r="B621" s="26"/>
    </row>
    <row r="622" spans="1:2" ht="15.75" customHeight="1" x14ac:dyDescent="0.25">
      <c r="A622" s="26"/>
      <c r="B622" s="26"/>
    </row>
    <row r="623" spans="1:2" ht="15.75" customHeight="1" x14ac:dyDescent="0.25">
      <c r="A623" s="26"/>
      <c r="B623" s="26"/>
    </row>
    <row r="624" spans="1:2" ht="15.75" customHeight="1" x14ac:dyDescent="0.25">
      <c r="A624" s="26"/>
      <c r="B624" s="26"/>
    </row>
    <row r="625" spans="1:2" ht="15.75" customHeight="1" x14ac:dyDescent="0.25">
      <c r="A625" s="26"/>
      <c r="B625" s="26"/>
    </row>
    <row r="626" spans="1:2" ht="15.75" customHeight="1" x14ac:dyDescent="0.25">
      <c r="A626" s="26"/>
      <c r="B626" s="26"/>
    </row>
    <row r="627" spans="1:2" ht="15.75" customHeight="1" x14ac:dyDescent="0.25">
      <c r="A627" s="26"/>
      <c r="B627" s="26"/>
    </row>
    <row r="628" spans="1:2" ht="15.75" customHeight="1" x14ac:dyDescent="0.25">
      <c r="A628" s="26"/>
      <c r="B628" s="26"/>
    </row>
    <row r="629" spans="1:2" ht="15.75" customHeight="1" x14ac:dyDescent="0.25">
      <c r="A629" s="26"/>
      <c r="B629" s="26"/>
    </row>
    <row r="630" spans="1:2" ht="15.75" customHeight="1" x14ac:dyDescent="0.25">
      <c r="A630" s="26"/>
      <c r="B630" s="26"/>
    </row>
    <row r="631" spans="1:2" ht="15.75" customHeight="1" x14ac:dyDescent="0.25">
      <c r="A631" s="26"/>
      <c r="B631" s="26"/>
    </row>
    <row r="632" spans="1:2" ht="15.75" customHeight="1" x14ac:dyDescent="0.25">
      <c r="A632" s="26"/>
      <c r="B632" s="26"/>
    </row>
    <row r="633" spans="1:2" ht="15.75" customHeight="1" x14ac:dyDescent="0.25">
      <c r="A633" s="26"/>
      <c r="B633" s="26"/>
    </row>
    <row r="634" spans="1:2" ht="15.75" customHeight="1" x14ac:dyDescent="0.25">
      <c r="A634" s="26"/>
      <c r="B634" s="26"/>
    </row>
    <row r="635" spans="1:2" ht="15.75" customHeight="1" x14ac:dyDescent="0.25">
      <c r="A635" s="26"/>
      <c r="B635" s="26"/>
    </row>
    <row r="636" spans="1:2" ht="15.75" customHeight="1" x14ac:dyDescent="0.25">
      <c r="A636" s="26"/>
      <c r="B636" s="26"/>
    </row>
    <row r="637" spans="1:2" ht="15.75" customHeight="1" x14ac:dyDescent="0.25">
      <c r="A637" s="26"/>
      <c r="B637" s="26"/>
    </row>
    <row r="638" spans="1:2" ht="15.75" customHeight="1" x14ac:dyDescent="0.25">
      <c r="A638" s="26"/>
      <c r="B638" s="26"/>
    </row>
    <row r="639" spans="1:2" ht="15.75" customHeight="1" x14ac:dyDescent="0.25">
      <c r="A639" s="26"/>
      <c r="B639" s="26"/>
    </row>
    <row r="640" spans="1:2" ht="15.75" customHeight="1" x14ac:dyDescent="0.25">
      <c r="A640" s="26"/>
      <c r="B640" s="26"/>
    </row>
    <row r="641" spans="1:2" ht="15.75" customHeight="1" x14ac:dyDescent="0.25">
      <c r="A641" s="26"/>
      <c r="B641" s="26"/>
    </row>
    <row r="642" spans="1:2" ht="15.75" customHeight="1" x14ac:dyDescent="0.25">
      <c r="A642" s="26"/>
      <c r="B642" s="26"/>
    </row>
    <row r="643" spans="1:2" ht="15.75" customHeight="1" x14ac:dyDescent="0.25">
      <c r="A643" s="26"/>
      <c r="B643" s="26"/>
    </row>
    <row r="644" spans="1:2" ht="15.75" customHeight="1" x14ac:dyDescent="0.25">
      <c r="A644" s="26"/>
      <c r="B644" s="26"/>
    </row>
    <row r="645" spans="1:2" ht="15.75" customHeight="1" x14ac:dyDescent="0.25">
      <c r="A645" s="26"/>
      <c r="B645" s="26"/>
    </row>
    <row r="646" spans="1:2" ht="15.75" customHeight="1" x14ac:dyDescent="0.25">
      <c r="A646" s="26"/>
      <c r="B646" s="26"/>
    </row>
    <row r="647" spans="1:2" ht="15.75" customHeight="1" x14ac:dyDescent="0.25">
      <c r="A647" s="26"/>
      <c r="B647" s="26"/>
    </row>
    <row r="648" spans="1:2" ht="15.75" customHeight="1" x14ac:dyDescent="0.25">
      <c r="A648" s="26"/>
      <c r="B648" s="26"/>
    </row>
    <row r="649" spans="1:2" ht="15.75" customHeight="1" x14ac:dyDescent="0.25">
      <c r="A649" s="26"/>
      <c r="B649" s="26"/>
    </row>
    <row r="650" spans="1:2" ht="15.75" customHeight="1" x14ac:dyDescent="0.25">
      <c r="A650" s="26"/>
      <c r="B650" s="26"/>
    </row>
    <row r="651" spans="1:2" ht="15.75" customHeight="1" x14ac:dyDescent="0.25">
      <c r="A651" s="26"/>
      <c r="B651" s="26"/>
    </row>
    <row r="652" spans="1:2" ht="15.75" customHeight="1" x14ac:dyDescent="0.25">
      <c r="A652" s="26"/>
      <c r="B652" s="26"/>
    </row>
    <row r="653" spans="1:2" ht="15.75" customHeight="1" x14ac:dyDescent="0.25">
      <c r="A653" s="26"/>
      <c r="B653" s="26"/>
    </row>
    <row r="654" spans="1:2" ht="15.75" customHeight="1" x14ac:dyDescent="0.25">
      <c r="A654" s="26"/>
      <c r="B654" s="26"/>
    </row>
    <row r="655" spans="1:2" ht="15.75" customHeight="1" x14ac:dyDescent="0.25">
      <c r="A655" s="26"/>
      <c r="B655" s="26"/>
    </row>
    <row r="656" spans="1:2" ht="15.75" customHeight="1" x14ac:dyDescent="0.25">
      <c r="A656" s="26"/>
      <c r="B656" s="26"/>
    </row>
    <row r="657" spans="1:2" ht="15.75" customHeight="1" x14ac:dyDescent="0.25">
      <c r="A657" s="26"/>
      <c r="B657" s="26"/>
    </row>
    <row r="658" spans="1:2" ht="15.75" customHeight="1" x14ac:dyDescent="0.25">
      <c r="A658" s="26"/>
      <c r="B658" s="26"/>
    </row>
    <row r="659" spans="1:2" ht="15.75" customHeight="1" x14ac:dyDescent="0.25">
      <c r="A659" s="26"/>
      <c r="B659" s="26"/>
    </row>
    <row r="660" spans="1:2" ht="15.75" customHeight="1" x14ac:dyDescent="0.25">
      <c r="A660" s="26"/>
      <c r="B660" s="26"/>
    </row>
    <row r="661" spans="1:2" ht="15.75" customHeight="1" x14ac:dyDescent="0.25">
      <c r="A661" s="26"/>
      <c r="B661" s="26"/>
    </row>
    <row r="662" spans="1:2" ht="15.75" customHeight="1" x14ac:dyDescent="0.25">
      <c r="A662" s="26"/>
      <c r="B662" s="26"/>
    </row>
    <row r="663" spans="1:2" ht="15.75" customHeight="1" x14ac:dyDescent="0.25">
      <c r="A663" s="26"/>
      <c r="B663" s="26"/>
    </row>
    <row r="664" spans="1:2" ht="15.75" customHeight="1" x14ac:dyDescent="0.25">
      <c r="A664" s="26"/>
      <c r="B664" s="26"/>
    </row>
    <row r="665" spans="1:2" ht="15.75" customHeight="1" x14ac:dyDescent="0.25">
      <c r="A665" s="26"/>
      <c r="B665" s="26"/>
    </row>
    <row r="666" spans="1:2" ht="15.75" customHeight="1" x14ac:dyDescent="0.25">
      <c r="A666" s="26"/>
      <c r="B666" s="26"/>
    </row>
    <row r="667" spans="1:2" ht="15.75" customHeight="1" x14ac:dyDescent="0.25">
      <c r="A667" s="26"/>
      <c r="B667" s="26"/>
    </row>
    <row r="668" spans="1:2" ht="15.75" customHeight="1" x14ac:dyDescent="0.25">
      <c r="A668" s="26"/>
      <c r="B668" s="26"/>
    </row>
    <row r="669" spans="1:2" ht="15.75" customHeight="1" x14ac:dyDescent="0.25">
      <c r="A669" s="26"/>
      <c r="B669" s="26"/>
    </row>
    <row r="670" spans="1:2" ht="15.75" customHeight="1" x14ac:dyDescent="0.25">
      <c r="A670" s="26"/>
      <c r="B670" s="26"/>
    </row>
    <row r="671" spans="1:2" ht="15.75" customHeight="1" x14ac:dyDescent="0.25">
      <c r="A671" s="26"/>
      <c r="B671" s="26"/>
    </row>
    <row r="672" spans="1:2" ht="15.75" customHeight="1" x14ac:dyDescent="0.25">
      <c r="A672" s="26"/>
      <c r="B672" s="26"/>
    </row>
    <row r="673" spans="1:2" ht="15.75" customHeight="1" x14ac:dyDescent="0.25">
      <c r="A673" s="26"/>
      <c r="B673" s="26"/>
    </row>
    <row r="674" spans="1:2" ht="15.75" customHeight="1" x14ac:dyDescent="0.25">
      <c r="A674" s="26"/>
      <c r="B674" s="26"/>
    </row>
    <row r="675" spans="1:2" ht="15.75" customHeight="1" x14ac:dyDescent="0.25">
      <c r="A675" s="26"/>
      <c r="B675" s="26"/>
    </row>
    <row r="676" spans="1:2" ht="15.75" customHeight="1" x14ac:dyDescent="0.25">
      <c r="A676" s="26"/>
      <c r="B676" s="26"/>
    </row>
    <row r="677" spans="1:2" ht="15.75" customHeight="1" x14ac:dyDescent="0.25">
      <c r="A677" s="26"/>
      <c r="B677" s="26"/>
    </row>
    <row r="678" spans="1:2" ht="15.75" customHeight="1" x14ac:dyDescent="0.25">
      <c r="A678" s="26"/>
      <c r="B678" s="26"/>
    </row>
    <row r="679" spans="1:2" ht="15.75" customHeight="1" x14ac:dyDescent="0.25">
      <c r="A679" s="26"/>
      <c r="B679" s="26"/>
    </row>
    <row r="680" spans="1:2" ht="15.75" customHeight="1" x14ac:dyDescent="0.25">
      <c r="A680" s="26"/>
      <c r="B680" s="26"/>
    </row>
    <row r="681" spans="1:2" ht="15.75" customHeight="1" x14ac:dyDescent="0.25">
      <c r="A681" s="26"/>
      <c r="B681" s="26"/>
    </row>
    <row r="682" spans="1:2" ht="15.75" customHeight="1" x14ac:dyDescent="0.25">
      <c r="A682" s="26"/>
      <c r="B682" s="26"/>
    </row>
    <row r="683" spans="1:2" ht="15.75" customHeight="1" x14ac:dyDescent="0.25">
      <c r="A683" s="26"/>
      <c r="B683" s="26"/>
    </row>
    <row r="684" spans="1:2" ht="15.75" customHeight="1" x14ac:dyDescent="0.25">
      <c r="A684" s="26"/>
      <c r="B684" s="26"/>
    </row>
    <row r="685" spans="1:2" ht="15.75" customHeight="1" x14ac:dyDescent="0.25">
      <c r="A685" s="26"/>
      <c r="B685" s="26"/>
    </row>
    <row r="686" spans="1:2" ht="15.75" customHeight="1" x14ac:dyDescent="0.25">
      <c r="A686" s="26"/>
      <c r="B686" s="26"/>
    </row>
    <row r="687" spans="1:2" ht="15.75" customHeight="1" x14ac:dyDescent="0.25">
      <c r="A687" s="26"/>
      <c r="B687" s="26"/>
    </row>
    <row r="688" spans="1:2" ht="15.75" customHeight="1" x14ac:dyDescent="0.25">
      <c r="A688" s="26"/>
      <c r="B688" s="26"/>
    </row>
    <row r="689" spans="1:2" ht="15.75" customHeight="1" x14ac:dyDescent="0.25">
      <c r="A689" s="26"/>
      <c r="B689" s="26"/>
    </row>
    <row r="690" spans="1:2" ht="15.75" customHeight="1" x14ac:dyDescent="0.25">
      <c r="A690" s="26"/>
      <c r="B690" s="26"/>
    </row>
    <row r="691" spans="1:2" ht="15.75" customHeight="1" x14ac:dyDescent="0.25">
      <c r="A691" s="26"/>
      <c r="B691" s="26"/>
    </row>
    <row r="692" spans="1:2" ht="15.75" customHeight="1" x14ac:dyDescent="0.25">
      <c r="A692" s="26"/>
      <c r="B692" s="26"/>
    </row>
    <row r="693" spans="1:2" ht="15.75" customHeight="1" x14ac:dyDescent="0.25">
      <c r="A693" s="26"/>
      <c r="B693" s="26"/>
    </row>
    <row r="694" spans="1:2" ht="15.75" customHeight="1" x14ac:dyDescent="0.25">
      <c r="A694" s="26"/>
      <c r="B694" s="26"/>
    </row>
    <row r="695" spans="1:2" ht="15.75" customHeight="1" x14ac:dyDescent="0.25">
      <c r="A695" s="26"/>
      <c r="B695" s="26"/>
    </row>
    <row r="696" spans="1:2" ht="15.75" customHeight="1" x14ac:dyDescent="0.25">
      <c r="A696" s="26"/>
      <c r="B696" s="26"/>
    </row>
    <row r="697" spans="1:2" ht="15.75" customHeight="1" x14ac:dyDescent="0.25">
      <c r="A697" s="26"/>
      <c r="B697" s="26"/>
    </row>
    <row r="698" spans="1:2" ht="15.75" customHeight="1" x14ac:dyDescent="0.25">
      <c r="A698" s="26"/>
      <c r="B698" s="26"/>
    </row>
    <row r="699" spans="1:2" ht="15.75" customHeight="1" x14ac:dyDescent="0.25">
      <c r="A699" s="26"/>
      <c r="B699" s="26"/>
    </row>
    <row r="700" spans="1:2" ht="15.75" customHeight="1" x14ac:dyDescent="0.25">
      <c r="A700" s="26"/>
      <c r="B700" s="26"/>
    </row>
    <row r="701" spans="1:2" ht="15.75" customHeight="1" x14ac:dyDescent="0.25">
      <c r="A701" s="26"/>
      <c r="B701" s="26"/>
    </row>
    <row r="702" spans="1:2" ht="15.75" customHeight="1" x14ac:dyDescent="0.25">
      <c r="A702" s="26"/>
      <c r="B702" s="26"/>
    </row>
    <row r="703" spans="1:2" ht="15.75" customHeight="1" x14ac:dyDescent="0.25">
      <c r="A703" s="26"/>
      <c r="B703" s="26"/>
    </row>
    <row r="704" spans="1:2" ht="15.75" customHeight="1" x14ac:dyDescent="0.25">
      <c r="A704" s="26"/>
      <c r="B704" s="26"/>
    </row>
    <row r="705" spans="1:2" ht="15.75" customHeight="1" x14ac:dyDescent="0.25">
      <c r="A705" s="26"/>
      <c r="B705" s="26"/>
    </row>
    <row r="706" spans="1:2" ht="15.75" customHeight="1" x14ac:dyDescent="0.25">
      <c r="A706" s="26"/>
      <c r="B706" s="26"/>
    </row>
    <row r="707" spans="1:2" ht="15.75" customHeight="1" x14ac:dyDescent="0.25">
      <c r="A707" s="26"/>
      <c r="B707" s="26"/>
    </row>
    <row r="708" spans="1:2" ht="15.75" customHeight="1" x14ac:dyDescent="0.25">
      <c r="A708" s="26"/>
      <c r="B708" s="26"/>
    </row>
    <row r="709" spans="1:2" ht="15.75" customHeight="1" x14ac:dyDescent="0.25">
      <c r="A709" s="26"/>
      <c r="B709" s="26"/>
    </row>
    <row r="710" spans="1:2" ht="15.75" customHeight="1" x14ac:dyDescent="0.25">
      <c r="A710" s="26"/>
      <c r="B710" s="26"/>
    </row>
    <row r="711" spans="1:2" ht="15.75" customHeight="1" x14ac:dyDescent="0.25">
      <c r="A711" s="26"/>
      <c r="B711" s="26"/>
    </row>
    <row r="712" spans="1:2" ht="15.75" customHeight="1" x14ac:dyDescent="0.25">
      <c r="A712" s="26"/>
      <c r="B712" s="26"/>
    </row>
    <row r="713" spans="1:2" ht="15.75" customHeight="1" x14ac:dyDescent="0.25">
      <c r="A713" s="26"/>
      <c r="B713" s="26"/>
    </row>
    <row r="714" spans="1:2" ht="15.75" customHeight="1" x14ac:dyDescent="0.25">
      <c r="A714" s="26"/>
      <c r="B714" s="26"/>
    </row>
    <row r="715" spans="1:2" ht="15.75" customHeight="1" x14ac:dyDescent="0.25">
      <c r="A715" s="26"/>
      <c r="B715" s="26"/>
    </row>
    <row r="716" spans="1:2" ht="15.75" customHeight="1" x14ac:dyDescent="0.25">
      <c r="A716" s="26"/>
      <c r="B716" s="26"/>
    </row>
    <row r="717" spans="1:2" ht="15.75" customHeight="1" x14ac:dyDescent="0.25">
      <c r="A717" s="26"/>
      <c r="B717" s="26"/>
    </row>
    <row r="718" spans="1:2" ht="15.75" customHeight="1" x14ac:dyDescent="0.25">
      <c r="A718" s="26"/>
      <c r="B718" s="26"/>
    </row>
    <row r="719" spans="1:2" ht="15.75" customHeight="1" x14ac:dyDescent="0.25">
      <c r="A719" s="26"/>
      <c r="B719" s="26"/>
    </row>
    <row r="720" spans="1:2" ht="15.75" customHeight="1" x14ac:dyDescent="0.25">
      <c r="A720" s="26"/>
      <c r="B720" s="26"/>
    </row>
    <row r="721" spans="1:2" ht="15.75" customHeight="1" x14ac:dyDescent="0.25">
      <c r="A721" s="26"/>
      <c r="B721" s="26"/>
    </row>
    <row r="722" spans="1:2" ht="15.75" customHeight="1" x14ac:dyDescent="0.25">
      <c r="A722" s="26"/>
      <c r="B722" s="26"/>
    </row>
    <row r="723" spans="1:2" ht="15.75" customHeight="1" x14ac:dyDescent="0.25">
      <c r="A723" s="26"/>
      <c r="B723" s="26"/>
    </row>
    <row r="724" spans="1:2" ht="15.75" customHeight="1" x14ac:dyDescent="0.25">
      <c r="A724" s="26"/>
      <c r="B724" s="26"/>
    </row>
    <row r="725" spans="1:2" ht="15.75" customHeight="1" x14ac:dyDescent="0.25">
      <c r="A725" s="26"/>
      <c r="B725" s="26"/>
    </row>
    <row r="726" spans="1:2" ht="15.75" customHeight="1" x14ac:dyDescent="0.25">
      <c r="A726" s="26"/>
      <c r="B726" s="26"/>
    </row>
    <row r="727" spans="1:2" ht="15.75" customHeight="1" x14ac:dyDescent="0.25">
      <c r="A727" s="26"/>
      <c r="B727" s="26"/>
    </row>
    <row r="728" spans="1:2" ht="15.75" customHeight="1" x14ac:dyDescent="0.25">
      <c r="A728" s="26"/>
      <c r="B728" s="26"/>
    </row>
    <row r="729" spans="1:2" ht="15.75" customHeight="1" x14ac:dyDescent="0.25">
      <c r="A729" s="26"/>
      <c r="B729" s="26"/>
    </row>
    <row r="730" spans="1:2" ht="15.75" customHeight="1" x14ac:dyDescent="0.25">
      <c r="A730" s="26"/>
      <c r="B730" s="26"/>
    </row>
    <row r="731" spans="1:2" ht="15.75" customHeight="1" x14ac:dyDescent="0.25">
      <c r="A731" s="26"/>
      <c r="B731" s="26"/>
    </row>
    <row r="732" spans="1:2" ht="15.75" customHeight="1" x14ac:dyDescent="0.25">
      <c r="A732" s="26"/>
      <c r="B732" s="26"/>
    </row>
    <row r="733" spans="1:2" ht="15.75" customHeight="1" x14ac:dyDescent="0.25">
      <c r="A733" s="26"/>
      <c r="B733" s="26"/>
    </row>
    <row r="734" spans="1:2" ht="15.75" customHeight="1" x14ac:dyDescent="0.25">
      <c r="A734" s="26"/>
      <c r="B734" s="26"/>
    </row>
    <row r="735" spans="1:2" ht="15.75" customHeight="1" x14ac:dyDescent="0.25">
      <c r="A735" s="26"/>
      <c r="B735" s="26"/>
    </row>
    <row r="736" spans="1:2" ht="15.75" customHeight="1" x14ac:dyDescent="0.25">
      <c r="A736" s="26"/>
      <c r="B736" s="26"/>
    </row>
    <row r="737" spans="1:2" ht="15.75" customHeight="1" x14ac:dyDescent="0.25">
      <c r="A737" s="26"/>
      <c r="B737" s="26"/>
    </row>
    <row r="738" spans="1:2" ht="15.75" customHeight="1" x14ac:dyDescent="0.25">
      <c r="A738" s="26"/>
      <c r="B738" s="26"/>
    </row>
    <row r="739" spans="1:2" ht="15.75" customHeight="1" x14ac:dyDescent="0.25">
      <c r="A739" s="26"/>
      <c r="B739" s="26"/>
    </row>
    <row r="740" spans="1:2" ht="15.75" customHeight="1" x14ac:dyDescent="0.25">
      <c r="A740" s="26"/>
      <c r="B740" s="26"/>
    </row>
    <row r="741" spans="1:2" ht="15.75" customHeight="1" x14ac:dyDescent="0.25">
      <c r="A741" s="26"/>
      <c r="B741" s="26"/>
    </row>
    <row r="742" spans="1:2" ht="15.75" customHeight="1" x14ac:dyDescent="0.25">
      <c r="A742" s="26"/>
      <c r="B742" s="26"/>
    </row>
    <row r="743" spans="1:2" ht="15.75" customHeight="1" x14ac:dyDescent="0.25">
      <c r="A743" s="26"/>
      <c r="B743" s="26"/>
    </row>
    <row r="744" spans="1:2" ht="15.75" customHeight="1" x14ac:dyDescent="0.25">
      <c r="A744" s="26"/>
      <c r="B744" s="26"/>
    </row>
    <row r="745" spans="1:2" ht="15.75" customHeight="1" x14ac:dyDescent="0.25">
      <c r="A745" s="26"/>
      <c r="B745" s="26"/>
    </row>
    <row r="746" spans="1:2" ht="15.75" customHeight="1" x14ac:dyDescent="0.25">
      <c r="A746" s="26"/>
      <c r="B746" s="26"/>
    </row>
    <row r="747" spans="1:2" ht="15.75" customHeight="1" x14ac:dyDescent="0.25">
      <c r="A747" s="26"/>
      <c r="B747" s="26"/>
    </row>
    <row r="748" spans="1:2" ht="15.75" customHeight="1" x14ac:dyDescent="0.25">
      <c r="A748" s="26"/>
      <c r="B748" s="26"/>
    </row>
    <row r="749" spans="1:2" ht="15.75" customHeight="1" x14ac:dyDescent="0.25">
      <c r="A749" s="26"/>
      <c r="B749" s="26"/>
    </row>
    <row r="750" spans="1:2" ht="15.75" customHeight="1" x14ac:dyDescent="0.25">
      <c r="A750" s="26"/>
      <c r="B750" s="26"/>
    </row>
    <row r="751" spans="1:2" ht="15.75" customHeight="1" x14ac:dyDescent="0.25">
      <c r="A751" s="26"/>
      <c r="B751" s="26"/>
    </row>
    <row r="752" spans="1:2" ht="15.75" customHeight="1" x14ac:dyDescent="0.25">
      <c r="A752" s="26"/>
      <c r="B752" s="26"/>
    </row>
    <row r="753" spans="1:2" ht="15.75" customHeight="1" x14ac:dyDescent="0.25">
      <c r="A753" s="26"/>
      <c r="B753" s="26"/>
    </row>
    <row r="754" spans="1:2" ht="15.75" customHeight="1" x14ac:dyDescent="0.25">
      <c r="A754" s="26"/>
      <c r="B754" s="26"/>
    </row>
    <row r="755" spans="1:2" ht="15.75" customHeight="1" x14ac:dyDescent="0.25">
      <c r="A755" s="26"/>
      <c r="B755" s="26"/>
    </row>
    <row r="756" spans="1:2" ht="15.75" customHeight="1" x14ac:dyDescent="0.25">
      <c r="A756" s="26"/>
      <c r="B756" s="26"/>
    </row>
    <row r="757" spans="1:2" ht="15.75" customHeight="1" x14ac:dyDescent="0.25">
      <c r="A757" s="26"/>
      <c r="B757" s="26"/>
    </row>
    <row r="758" spans="1:2" ht="15.75" customHeight="1" x14ac:dyDescent="0.25">
      <c r="A758" s="26"/>
      <c r="B758" s="26"/>
    </row>
    <row r="759" spans="1:2" ht="15.75" customHeight="1" x14ac:dyDescent="0.25">
      <c r="A759" s="26"/>
      <c r="B759" s="26"/>
    </row>
    <row r="760" spans="1:2" ht="15.75" customHeight="1" x14ac:dyDescent="0.25">
      <c r="A760" s="26"/>
      <c r="B760" s="26"/>
    </row>
    <row r="761" spans="1:2" ht="15.75" customHeight="1" x14ac:dyDescent="0.25">
      <c r="A761" s="26"/>
      <c r="B761" s="26"/>
    </row>
    <row r="762" spans="1:2" ht="15.75" customHeight="1" x14ac:dyDescent="0.25">
      <c r="A762" s="26"/>
      <c r="B762" s="26"/>
    </row>
    <row r="763" spans="1:2" ht="15.75" customHeight="1" x14ac:dyDescent="0.25">
      <c r="A763" s="26"/>
      <c r="B763" s="26"/>
    </row>
    <row r="764" spans="1:2" ht="15.75" customHeight="1" x14ac:dyDescent="0.25">
      <c r="A764" s="26"/>
      <c r="B764" s="26"/>
    </row>
    <row r="765" spans="1:2" ht="15.75" customHeight="1" x14ac:dyDescent="0.25">
      <c r="A765" s="26"/>
      <c r="B765" s="26"/>
    </row>
    <row r="766" spans="1:2" ht="15.75" customHeight="1" x14ac:dyDescent="0.25">
      <c r="A766" s="26"/>
      <c r="B766" s="26"/>
    </row>
    <row r="767" spans="1:2" ht="15.75" customHeight="1" x14ac:dyDescent="0.25">
      <c r="A767" s="26"/>
      <c r="B767" s="26"/>
    </row>
    <row r="768" spans="1:2" ht="15.75" customHeight="1" x14ac:dyDescent="0.25">
      <c r="A768" s="26"/>
      <c r="B768" s="26"/>
    </row>
    <row r="769" spans="1:2" ht="15.75" customHeight="1" x14ac:dyDescent="0.25">
      <c r="A769" s="26"/>
      <c r="B769" s="26"/>
    </row>
    <row r="770" spans="1:2" ht="15.75" customHeight="1" x14ac:dyDescent="0.25">
      <c r="A770" s="26"/>
      <c r="B770" s="26"/>
    </row>
    <row r="771" spans="1:2" ht="15.75" customHeight="1" x14ac:dyDescent="0.25">
      <c r="A771" s="26"/>
      <c r="B771" s="26"/>
    </row>
    <row r="772" spans="1:2" ht="15.75" customHeight="1" x14ac:dyDescent="0.25">
      <c r="A772" s="26"/>
      <c r="B772" s="26"/>
    </row>
    <row r="773" spans="1:2" ht="15.75" customHeight="1" x14ac:dyDescent="0.25">
      <c r="A773" s="26"/>
      <c r="B773" s="26"/>
    </row>
    <row r="774" spans="1:2" ht="15.75" customHeight="1" x14ac:dyDescent="0.25">
      <c r="A774" s="26"/>
      <c r="B774" s="26"/>
    </row>
    <row r="775" spans="1:2" ht="15.75" customHeight="1" x14ac:dyDescent="0.25">
      <c r="A775" s="26"/>
      <c r="B775" s="26"/>
    </row>
    <row r="776" spans="1:2" ht="15.75" customHeight="1" x14ac:dyDescent="0.25">
      <c r="A776" s="26"/>
      <c r="B776" s="26"/>
    </row>
    <row r="777" spans="1:2" ht="15.75" customHeight="1" x14ac:dyDescent="0.25">
      <c r="A777" s="26"/>
      <c r="B777" s="26"/>
    </row>
    <row r="778" spans="1:2" ht="15.75" customHeight="1" x14ac:dyDescent="0.25">
      <c r="A778" s="26"/>
      <c r="B778" s="26"/>
    </row>
    <row r="779" spans="1:2" ht="15.75" customHeight="1" x14ac:dyDescent="0.25">
      <c r="A779" s="26"/>
      <c r="B779" s="26"/>
    </row>
    <row r="780" spans="1:2" ht="15.75" customHeight="1" x14ac:dyDescent="0.25">
      <c r="A780" s="26"/>
      <c r="B780" s="26"/>
    </row>
    <row r="781" spans="1:2" ht="15.75" customHeight="1" x14ac:dyDescent="0.25">
      <c r="A781" s="26"/>
      <c r="B781" s="26"/>
    </row>
    <row r="782" spans="1:2" ht="15.75" customHeight="1" x14ac:dyDescent="0.25">
      <c r="A782" s="26"/>
      <c r="B782" s="26"/>
    </row>
    <row r="783" spans="1:2" ht="15.75" customHeight="1" x14ac:dyDescent="0.25">
      <c r="A783" s="26"/>
      <c r="B783" s="26"/>
    </row>
    <row r="784" spans="1:2" ht="15.75" customHeight="1" x14ac:dyDescent="0.25">
      <c r="A784" s="26"/>
      <c r="B784" s="26"/>
    </row>
    <row r="785" spans="1:2" ht="15.75" customHeight="1" x14ac:dyDescent="0.25">
      <c r="A785" s="26"/>
      <c r="B785" s="26"/>
    </row>
    <row r="786" spans="1:2" ht="15.75" customHeight="1" x14ac:dyDescent="0.25">
      <c r="A786" s="26"/>
      <c r="B786" s="26"/>
    </row>
    <row r="787" spans="1:2" ht="15.75" customHeight="1" x14ac:dyDescent="0.25">
      <c r="A787" s="26"/>
      <c r="B787" s="26"/>
    </row>
    <row r="788" spans="1:2" ht="15.75" customHeight="1" x14ac:dyDescent="0.25">
      <c r="A788" s="26"/>
      <c r="B788" s="26"/>
    </row>
    <row r="789" spans="1:2" ht="15.75" customHeight="1" x14ac:dyDescent="0.25">
      <c r="A789" s="26"/>
      <c r="B789" s="26"/>
    </row>
    <row r="790" spans="1:2" ht="15.75" customHeight="1" x14ac:dyDescent="0.25">
      <c r="A790" s="26"/>
      <c r="B790" s="26"/>
    </row>
    <row r="791" spans="1:2" ht="15.75" customHeight="1" x14ac:dyDescent="0.25">
      <c r="A791" s="26"/>
      <c r="B791" s="26"/>
    </row>
    <row r="792" spans="1:2" ht="15.75" customHeight="1" x14ac:dyDescent="0.25">
      <c r="A792" s="26"/>
      <c r="B792" s="26"/>
    </row>
    <row r="793" spans="1:2" ht="15.75" customHeight="1" x14ac:dyDescent="0.25">
      <c r="A793" s="26"/>
      <c r="B793" s="26"/>
    </row>
    <row r="794" spans="1:2" ht="15.75" customHeight="1" x14ac:dyDescent="0.25">
      <c r="A794" s="26"/>
      <c r="B794" s="26"/>
    </row>
    <row r="795" spans="1:2" ht="15.75" customHeight="1" x14ac:dyDescent="0.25">
      <c r="A795" s="26"/>
      <c r="B795" s="26"/>
    </row>
    <row r="796" spans="1:2" ht="15.75" customHeight="1" x14ac:dyDescent="0.25">
      <c r="A796" s="26"/>
      <c r="B796" s="26"/>
    </row>
    <row r="797" spans="1:2" ht="15.75" customHeight="1" x14ac:dyDescent="0.25">
      <c r="A797" s="26"/>
      <c r="B797" s="26"/>
    </row>
    <row r="798" spans="1:2" ht="15.75" customHeight="1" x14ac:dyDescent="0.25">
      <c r="A798" s="26"/>
      <c r="B798" s="26"/>
    </row>
    <row r="799" spans="1:2" ht="15.75" customHeight="1" x14ac:dyDescent="0.25">
      <c r="A799" s="26"/>
      <c r="B799" s="26"/>
    </row>
    <row r="800" spans="1:2" ht="15.75" customHeight="1" x14ac:dyDescent="0.25">
      <c r="A800" s="26"/>
      <c r="B800" s="26"/>
    </row>
    <row r="801" spans="1:2" ht="15.75" customHeight="1" x14ac:dyDescent="0.25">
      <c r="A801" s="26"/>
      <c r="B801" s="26"/>
    </row>
    <row r="802" spans="1:2" ht="15.75" customHeight="1" x14ac:dyDescent="0.25">
      <c r="A802" s="26"/>
      <c r="B802" s="26"/>
    </row>
    <row r="803" spans="1:2" ht="15.75" customHeight="1" x14ac:dyDescent="0.25">
      <c r="A803" s="26"/>
      <c r="B803" s="26"/>
    </row>
    <row r="804" spans="1:2" ht="15.75" customHeight="1" x14ac:dyDescent="0.25">
      <c r="A804" s="26"/>
      <c r="B804" s="26"/>
    </row>
    <row r="805" spans="1:2" ht="15.75" customHeight="1" x14ac:dyDescent="0.25">
      <c r="A805" s="26"/>
      <c r="B805" s="26"/>
    </row>
    <row r="806" spans="1:2" ht="15.75" customHeight="1" x14ac:dyDescent="0.25">
      <c r="A806" s="26"/>
      <c r="B806" s="26"/>
    </row>
    <row r="807" spans="1:2" ht="15.75" customHeight="1" x14ac:dyDescent="0.25">
      <c r="A807" s="26"/>
      <c r="B807" s="26"/>
    </row>
    <row r="808" spans="1:2" ht="15.75" customHeight="1" x14ac:dyDescent="0.25">
      <c r="A808" s="26"/>
      <c r="B808" s="26"/>
    </row>
    <row r="809" spans="1:2" ht="15.75" customHeight="1" x14ac:dyDescent="0.25">
      <c r="A809" s="26"/>
      <c r="B809" s="26"/>
    </row>
    <row r="810" spans="1:2" ht="15.75" customHeight="1" x14ac:dyDescent="0.25">
      <c r="A810" s="26"/>
      <c r="B810" s="26"/>
    </row>
    <row r="811" spans="1:2" ht="15.75" customHeight="1" x14ac:dyDescent="0.25">
      <c r="A811" s="26"/>
      <c r="B811" s="26"/>
    </row>
    <row r="812" spans="1:2" ht="15.75" customHeight="1" x14ac:dyDescent="0.25">
      <c r="A812" s="26"/>
      <c r="B812" s="26"/>
    </row>
    <row r="813" spans="1:2" ht="15.75" customHeight="1" x14ac:dyDescent="0.25">
      <c r="A813" s="26"/>
      <c r="B813" s="26"/>
    </row>
    <row r="814" spans="1:2" ht="15.75" customHeight="1" x14ac:dyDescent="0.25">
      <c r="A814" s="26"/>
      <c r="B814" s="26"/>
    </row>
    <row r="815" spans="1:2" ht="15.75" customHeight="1" x14ac:dyDescent="0.25">
      <c r="A815" s="26"/>
      <c r="B815" s="26"/>
    </row>
    <row r="816" spans="1:2" ht="15.75" customHeight="1" x14ac:dyDescent="0.25">
      <c r="A816" s="26"/>
      <c r="B816" s="26"/>
    </row>
    <row r="817" spans="1:2" ht="15.75" customHeight="1" x14ac:dyDescent="0.25">
      <c r="A817" s="26"/>
      <c r="B817" s="26"/>
    </row>
    <row r="818" spans="1:2" ht="15.75" customHeight="1" x14ac:dyDescent="0.25">
      <c r="A818" s="26"/>
      <c r="B818" s="26"/>
    </row>
    <row r="819" spans="1:2" ht="15.75" customHeight="1" x14ac:dyDescent="0.25">
      <c r="A819" s="26"/>
      <c r="B819" s="26"/>
    </row>
    <row r="820" spans="1:2" ht="15.75" customHeight="1" x14ac:dyDescent="0.25">
      <c r="A820" s="26"/>
      <c r="B820" s="26"/>
    </row>
    <row r="821" spans="1:2" ht="15.75" customHeight="1" x14ac:dyDescent="0.25">
      <c r="A821" s="26"/>
      <c r="B821" s="26"/>
    </row>
    <row r="822" spans="1:2" ht="15.75" customHeight="1" x14ac:dyDescent="0.25">
      <c r="A822" s="26"/>
      <c r="B822" s="26"/>
    </row>
    <row r="823" spans="1:2" ht="15.75" customHeight="1" x14ac:dyDescent="0.25">
      <c r="A823" s="26"/>
      <c r="B823" s="26"/>
    </row>
    <row r="824" spans="1:2" ht="15.75" customHeight="1" x14ac:dyDescent="0.25">
      <c r="A824" s="26"/>
      <c r="B824" s="26"/>
    </row>
    <row r="825" spans="1:2" ht="15.75" customHeight="1" x14ac:dyDescent="0.25">
      <c r="A825" s="26"/>
      <c r="B825" s="26"/>
    </row>
    <row r="826" spans="1:2" ht="15.75" customHeight="1" x14ac:dyDescent="0.25">
      <c r="A826" s="26"/>
      <c r="B826" s="26"/>
    </row>
    <row r="827" spans="1:2" ht="15.75" customHeight="1" x14ac:dyDescent="0.25">
      <c r="A827" s="26"/>
      <c r="B827" s="26"/>
    </row>
    <row r="828" spans="1:2" ht="15.75" customHeight="1" x14ac:dyDescent="0.25">
      <c r="A828" s="26"/>
      <c r="B828" s="26"/>
    </row>
    <row r="829" spans="1:2" ht="15.75" customHeight="1" x14ac:dyDescent="0.25">
      <c r="A829" s="26"/>
      <c r="B829" s="26"/>
    </row>
    <row r="830" spans="1:2" ht="15.75" customHeight="1" x14ac:dyDescent="0.25">
      <c r="A830" s="26"/>
      <c r="B830" s="26"/>
    </row>
    <row r="831" spans="1:2" ht="15.75" customHeight="1" x14ac:dyDescent="0.25">
      <c r="A831" s="26"/>
      <c r="B831" s="26"/>
    </row>
    <row r="832" spans="1:2" ht="15.75" customHeight="1" x14ac:dyDescent="0.25">
      <c r="A832" s="26"/>
      <c r="B832" s="26"/>
    </row>
    <row r="833" spans="1:2" ht="15.75" customHeight="1" x14ac:dyDescent="0.25">
      <c r="A833" s="26"/>
      <c r="B833" s="26"/>
    </row>
    <row r="834" spans="1:2" ht="15.75" customHeight="1" x14ac:dyDescent="0.25">
      <c r="A834" s="26"/>
      <c r="B834" s="26"/>
    </row>
    <row r="835" spans="1:2" ht="15.75" customHeight="1" x14ac:dyDescent="0.25">
      <c r="A835" s="26"/>
      <c r="B835" s="26"/>
    </row>
    <row r="836" spans="1:2" ht="15.75" customHeight="1" x14ac:dyDescent="0.25">
      <c r="A836" s="26"/>
      <c r="B836" s="26"/>
    </row>
    <row r="837" spans="1:2" ht="15.75" customHeight="1" x14ac:dyDescent="0.25">
      <c r="A837" s="26"/>
      <c r="B837" s="26"/>
    </row>
    <row r="838" spans="1:2" ht="15.75" customHeight="1" x14ac:dyDescent="0.25">
      <c r="A838" s="26"/>
      <c r="B838" s="26"/>
    </row>
    <row r="839" spans="1:2" ht="15.75" customHeight="1" x14ac:dyDescent="0.25">
      <c r="A839" s="26"/>
      <c r="B839" s="26"/>
    </row>
    <row r="840" spans="1:2" ht="15.75" customHeight="1" x14ac:dyDescent="0.25">
      <c r="A840" s="26"/>
      <c r="B840" s="26"/>
    </row>
    <row r="841" spans="1:2" ht="15.75" customHeight="1" x14ac:dyDescent="0.25">
      <c r="A841" s="26"/>
      <c r="B841" s="26"/>
    </row>
    <row r="842" spans="1:2" ht="15.75" customHeight="1" x14ac:dyDescent="0.25">
      <c r="A842" s="26"/>
      <c r="B842" s="26"/>
    </row>
    <row r="843" spans="1:2" ht="15.75" customHeight="1" x14ac:dyDescent="0.25">
      <c r="A843" s="26"/>
      <c r="B843" s="26"/>
    </row>
    <row r="844" spans="1:2" ht="15.75" customHeight="1" x14ac:dyDescent="0.25">
      <c r="A844" s="26"/>
      <c r="B844" s="26"/>
    </row>
    <row r="845" spans="1:2" ht="15.75" customHeight="1" x14ac:dyDescent="0.25">
      <c r="A845" s="26"/>
      <c r="B845" s="26"/>
    </row>
    <row r="846" spans="1:2" ht="15.75" customHeight="1" x14ac:dyDescent="0.25">
      <c r="A846" s="26"/>
      <c r="B846" s="26"/>
    </row>
    <row r="847" spans="1:2" ht="15.75" customHeight="1" x14ac:dyDescent="0.25">
      <c r="A847" s="26"/>
      <c r="B847" s="26"/>
    </row>
    <row r="848" spans="1:2" ht="15.75" customHeight="1" x14ac:dyDescent="0.25">
      <c r="A848" s="26"/>
      <c r="B848" s="26"/>
    </row>
    <row r="849" spans="1:2" ht="15.75" customHeight="1" x14ac:dyDescent="0.25">
      <c r="A849" s="26"/>
      <c r="B849" s="26"/>
    </row>
    <row r="850" spans="1:2" ht="15.75" customHeight="1" x14ac:dyDescent="0.25">
      <c r="A850" s="26"/>
      <c r="B850" s="26"/>
    </row>
    <row r="851" spans="1:2" ht="15.75" customHeight="1" x14ac:dyDescent="0.25">
      <c r="A851" s="26"/>
      <c r="B851" s="26"/>
    </row>
    <row r="852" spans="1:2" ht="15.75" customHeight="1" x14ac:dyDescent="0.25">
      <c r="A852" s="26"/>
      <c r="B852" s="26"/>
    </row>
    <row r="853" spans="1:2" ht="15.75" customHeight="1" x14ac:dyDescent="0.25">
      <c r="A853" s="26"/>
      <c r="B853" s="26"/>
    </row>
    <row r="854" spans="1:2" ht="15.75" customHeight="1" x14ac:dyDescent="0.25">
      <c r="A854" s="26"/>
      <c r="B854" s="26"/>
    </row>
    <row r="855" spans="1:2" ht="15.75" customHeight="1" x14ac:dyDescent="0.25">
      <c r="A855" s="26"/>
      <c r="B855" s="26"/>
    </row>
    <row r="856" spans="1:2" ht="15.75" customHeight="1" x14ac:dyDescent="0.25">
      <c r="A856" s="26"/>
      <c r="B856" s="26"/>
    </row>
    <row r="857" spans="1:2" ht="15.75" customHeight="1" x14ac:dyDescent="0.25">
      <c r="A857" s="26"/>
      <c r="B857" s="26"/>
    </row>
    <row r="858" spans="1:2" ht="15.75" customHeight="1" x14ac:dyDescent="0.25">
      <c r="A858" s="26"/>
      <c r="B858" s="26"/>
    </row>
    <row r="859" spans="1:2" ht="15.75" customHeight="1" x14ac:dyDescent="0.25">
      <c r="A859" s="26"/>
      <c r="B859" s="26"/>
    </row>
    <row r="860" spans="1:2" ht="15.75" customHeight="1" x14ac:dyDescent="0.25">
      <c r="A860" s="26"/>
      <c r="B860" s="26"/>
    </row>
    <row r="861" spans="1:2" ht="15.75" customHeight="1" x14ac:dyDescent="0.25">
      <c r="A861" s="26"/>
      <c r="B861" s="26"/>
    </row>
    <row r="862" spans="1:2" ht="15.75" customHeight="1" x14ac:dyDescent="0.25">
      <c r="A862" s="26"/>
      <c r="B862" s="26"/>
    </row>
    <row r="863" spans="1:2" ht="15.75" customHeight="1" x14ac:dyDescent="0.25">
      <c r="A863" s="26"/>
      <c r="B863" s="26"/>
    </row>
    <row r="864" spans="1:2" ht="15.75" customHeight="1" x14ac:dyDescent="0.25">
      <c r="A864" s="26"/>
      <c r="B864" s="26"/>
    </row>
    <row r="865" spans="1:2" ht="15.75" customHeight="1" x14ac:dyDescent="0.25">
      <c r="A865" s="26"/>
      <c r="B865" s="26"/>
    </row>
    <row r="866" spans="1:2" ht="15.75" customHeight="1" x14ac:dyDescent="0.25">
      <c r="A866" s="26"/>
      <c r="B866" s="26"/>
    </row>
    <row r="867" spans="1:2" ht="15.75" customHeight="1" x14ac:dyDescent="0.25">
      <c r="A867" s="26"/>
      <c r="B867" s="26"/>
    </row>
    <row r="868" spans="1:2" ht="15.75" customHeight="1" x14ac:dyDescent="0.25">
      <c r="A868" s="26"/>
      <c r="B868" s="26"/>
    </row>
    <row r="869" spans="1:2" ht="15.75" customHeight="1" x14ac:dyDescent="0.25">
      <c r="A869" s="26"/>
      <c r="B869" s="26"/>
    </row>
    <row r="870" spans="1:2" ht="15.75" customHeight="1" x14ac:dyDescent="0.25">
      <c r="A870" s="26"/>
      <c r="B870" s="26"/>
    </row>
    <row r="871" spans="1:2" ht="15.75" customHeight="1" x14ac:dyDescent="0.25">
      <c r="A871" s="26"/>
      <c r="B871" s="26"/>
    </row>
    <row r="872" spans="1:2" ht="15.75" customHeight="1" x14ac:dyDescent="0.25">
      <c r="A872" s="26"/>
      <c r="B872" s="26"/>
    </row>
    <row r="873" spans="1:2" ht="15.75" customHeight="1" x14ac:dyDescent="0.25">
      <c r="A873" s="26"/>
      <c r="B873" s="26"/>
    </row>
    <row r="874" spans="1:2" ht="15.75" customHeight="1" x14ac:dyDescent="0.25">
      <c r="A874" s="26"/>
      <c r="B874" s="26"/>
    </row>
    <row r="875" spans="1:2" ht="15.75" customHeight="1" x14ac:dyDescent="0.25">
      <c r="A875" s="26"/>
      <c r="B875" s="26"/>
    </row>
    <row r="876" spans="1:2" ht="15.75" customHeight="1" x14ac:dyDescent="0.25">
      <c r="A876" s="26"/>
      <c r="B876" s="26"/>
    </row>
    <row r="877" spans="1:2" ht="15.75" customHeight="1" x14ac:dyDescent="0.25">
      <c r="A877" s="26"/>
      <c r="B877" s="26"/>
    </row>
    <row r="878" spans="1:2" ht="15.75" customHeight="1" x14ac:dyDescent="0.25">
      <c r="A878" s="26"/>
      <c r="B878" s="26"/>
    </row>
    <row r="879" spans="1:2" ht="15.75" customHeight="1" x14ac:dyDescent="0.25">
      <c r="A879" s="26"/>
      <c r="B879" s="26"/>
    </row>
    <row r="880" spans="1:2" ht="15.75" customHeight="1" x14ac:dyDescent="0.25">
      <c r="A880" s="26"/>
      <c r="B880" s="26"/>
    </row>
    <row r="881" spans="1:2" ht="15.75" customHeight="1" x14ac:dyDescent="0.25">
      <c r="A881" s="26"/>
      <c r="B881" s="26"/>
    </row>
    <row r="882" spans="1:2" ht="15.75" customHeight="1" x14ac:dyDescent="0.25">
      <c r="A882" s="26"/>
      <c r="B882" s="26"/>
    </row>
    <row r="883" spans="1:2" ht="15.75" customHeight="1" x14ac:dyDescent="0.25">
      <c r="A883" s="26"/>
      <c r="B883" s="26"/>
    </row>
    <row r="884" spans="1:2" ht="15.75" customHeight="1" x14ac:dyDescent="0.25">
      <c r="A884" s="26"/>
      <c r="B884" s="26"/>
    </row>
    <row r="885" spans="1:2" ht="15.75" customHeight="1" x14ac:dyDescent="0.25">
      <c r="A885" s="26"/>
      <c r="B885" s="26"/>
    </row>
    <row r="886" spans="1:2" ht="15.75" customHeight="1" x14ac:dyDescent="0.25">
      <c r="A886" s="26"/>
      <c r="B886" s="26"/>
    </row>
    <row r="887" spans="1:2" ht="15.75" customHeight="1" x14ac:dyDescent="0.25">
      <c r="A887" s="26"/>
      <c r="B887" s="26"/>
    </row>
    <row r="888" spans="1:2" ht="15.75" customHeight="1" x14ac:dyDescent="0.25">
      <c r="A888" s="26"/>
      <c r="B888" s="26"/>
    </row>
    <row r="889" spans="1:2" ht="15.75" customHeight="1" x14ac:dyDescent="0.25">
      <c r="A889" s="26"/>
      <c r="B889" s="26"/>
    </row>
    <row r="890" spans="1:2" ht="15.75" customHeight="1" x14ac:dyDescent="0.25">
      <c r="A890" s="26"/>
      <c r="B890" s="26"/>
    </row>
    <row r="891" spans="1:2" ht="15.75" customHeight="1" x14ac:dyDescent="0.25">
      <c r="A891" s="26"/>
      <c r="B891" s="26"/>
    </row>
    <row r="892" spans="1:2" ht="15.75" customHeight="1" x14ac:dyDescent="0.25">
      <c r="A892" s="26"/>
      <c r="B892" s="26"/>
    </row>
    <row r="893" spans="1:2" ht="15.75" customHeight="1" x14ac:dyDescent="0.25">
      <c r="A893" s="26"/>
      <c r="B893" s="26"/>
    </row>
    <row r="894" spans="1:2" ht="15.75" customHeight="1" x14ac:dyDescent="0.25">
      <c r="A894" s="26"/>
      <c r="B894" s="26"/>
    </row>
    <row r="895" spans="1:2" ht="15.75" customHeight="1" x14ac:dyDescent="0.25">
      <c r="A895" s="26"/>
      <c r="B895" s="26"/>
    </row>
    <row r="896" spans="1:2" ht="15.75" customHeight="1" x14ac:dyDescent="0.25">
      <c r="A896" s="26"/>
      <c r="B896" s="26"/>
    </row>
    <row r="897" spans="1:2" ht="15.75" customHeight="1" x14ac:dyDescent="0.25">
      <c r="A897" s="26"/>
      <c r="B897" s="26"/>
    </row>
    <row r="898" spans="1:2" ht="15.75" customHeight="1" x14ac:dyDescent="0.25">
      <c r="A898" s="26"/>
      <c r="B898" s="26"/>
    </row>
    <row r="899" spans="1:2" ht="15.75" customHeight="1" x14ac:dyDescent="0.25">
      <c r="A899" s="26"/>
      <c r="B899" s="26"/>
    </row>
    <row r="900" spans="1:2" ht="15.75" customHeight="1" x14ac:dyDescent="0.25">
      <c r="A900" s="26"/>
      <c r="B900" s="26"/>
    </row>
    <row r="901" spans="1:2" ht="15.75" customHeight="1" x14ac:dyDescent="0.25">
      <c r="A901" s="26"/>
      <c r="B901" s="26"/>
    </row>
    <row r="902" spans="1:2" ht="15.75" customHeight="1" x14ac:dyDescent="0.25">
      <c r="A902" s="26"/>
      <c r="B902" s="26"/>
    </row>
    <row r="903" spans="1:2" ht="15.75" customHeight="1" x14ac:dyDescent="0.25">
      <c r="A903" s="26"/>
      <c r="B903" s="26"/>
    </row>
    <row r="904" spans="1:2" ht="15.75" customHeight="1" x14ac:dyDescent="0.25">
      <c r="A904" s="26"/>
      <c r="B904" s="26"/>
    </row>
    <row r="905" spans="1:2" ht="15.75" customHeight="1" x14ac:dyDescent="0.25">
      <c r="A905" s="26"/>
      <c r="B905" s="26"/>
    </row>
    <row r="906" spans="1:2" ht="15.75" customHeight="1" x14ac:dyDescent="0.25">
      <c r="A906" s="26"/>
      <c r="B906" s="26"/>
    </row>
    <row r="907" spans="1:2" ht="15.75" customHeight="1" x14ac:dyDescent="0.25">
      <c r="A907" s="26"/>
      <c r="B907" s="26"/>
    </row>
    <row r="908" spans="1:2" ht="15.75" customHeight="1" x14ac:dyDescent="0.25">
      <c r="A908" s="26"/>
      <c r="B908" s="26"/>
    </row>
    <row r="909" spans="1:2" ht="15.75" customHeight="1" x14ac:dyDescent="0.25">
      <c r="A909" s="26"/>
      <c r="B909" s="26"/>
    </row>
    <row r="910" spans="1:2" ht="15.75" customHeight="1" x14ac:dyDescent="0.25">
      <c r="A910" s="26"/>
      <c r="B910" s="26"/>
    </row>
    <row r="911" spans="1:2" ht="15.75" customHeight="1" x14ac:dyDescent="0.25">
      <c r="A911" s="26"/>
      <c r="B911" s="26"/>
    </row>
    <row r="912" spans="1:2" ht="15.75" customHeight="1" x14ac:dyDescent="0.25">
      <c r="A912" s="26"/>
      <c r="B912" s="26"/>
    </row>
    <row r="913" spans="1:2" ht="15.75" customHeight="1" x14ac:dyDescent="0.25">
      <c r="A913" s="26"/>
      <c r="B913" s="26"/>
    </row>
    <row r="914" spans="1:2" ht="15.75" customHeight="1" x14ac:dyDescent="0.25">
      <c r="A914" s="26"/>
      <c r="B914" s="26"/>
    </row>
    <row r="915" spans="1:2" ht="15.75" customHeight="1" x14ac:dyDescent="0.25">
      <c r="A915" s="26"/>
      <c r="B915" s="26"/>
    </row>
    <row r="916" spans="1:2" ht="15.75" customHeight="1" x14ac:dyDescent="0.25">
      <c r="A916" s="26"/>
      <c r="B916" s="26"/>
    </row>
    <row r="917" spans="1:2" ht="15.75" customHeight="1" x14ac:dyDescent="0.25">
      <c r="A917" s="26"/>
      <c r="B917" s="26"/>
    </row>
    <row r="918" spans="1:2" ht="15.75" customHeight="1" x14ac:dyDescent="0.25">
      <c r="A918" s="26"/>
      <c r="B918" s="26"/>
    </row>
    <row r="919" spans="1:2" ht="15.75" customHeight="1" x14ac:dyDescent="0.25">
      <c r="A919" s="26"/>
      <c r="B919" s="26"/>
    </row>
    <row r="920" spans="1:2" ht="15.75" customHeight="1" x14ac:dyDescent="0.25">
      <c r="A920" s="26"/>
      <c r="B920" s="26"/>
    </row>
    <row r="921" spans="1:2" ht="15.75" customHeight="1" x14ac:dyDescent="0.25">
      <c r="A921" s="26"/>
      <c r="B921" s="26"/>
    </row>
    <row r="922" spans="1:2" ht="15.75" customHeight="1" x14ac:dyDescent="0.25">
      <c r="A922" s="26"/>
      <c r="B922" s="26"/>
    </row>
    <row r="923" spans="1:2" ht="15.75" customHeight="1" x14ac:dyDescent="0.25">
      <c r="A923" s="26"/>
      <c r="B923" s="26"/>
    </row>
    <row r="924" spans="1:2" ht="15.75" customHeight="1" x14ac:dyDescent="0.25">
      <c r="A924" s="26"/>
      <c r="B924" s="26"/>
    </row>
    <row r="925" spans="1:2" ht="15.75" customHeight="1" x14ac:dyDescent="0.25">
      <c r="A925" s="26"/>
      <c r="B925" s="26"/>
    </row>
    <row r="926" spans="1:2" ht="15.75" customHeight="1" x14ac:dyDescent="0.25">
      <c r="A926" s="26"/>
      <c r="B926" s="26"/>
    </row>
    <row r="927" spans="1:2" ht="15.75" customHeight="1" x14ac:dyDescent="0.25">
      <c r="A927" s="26"/>
      <c r="B927" s="26"/>
    </row>
    <row r="928" spans="1:2" ht="15.75" customHeight="1" x14ac:dyDescent="0.25">
      <c r="A928" s="26"/>
      <c r="B928" s="26"/>
    </row>
    <row r="929" spans="1:2" ht="15.75" customHeight="1" x14ac:dyDescent="0.25">
      <c r="A929" s="26"/>
      <c r="B929" s="26"/>
    </row>
    <row r="930" spans="1:2" ht="15.75" customHeight="1" x14ac:dyDescent="0.25">
      <c r="A930" s="26"/>
      <c r="B930" s="26"/>
    </row>
    <row r="931" spans="1:2" ht="15.75" customHeight="1" x14ac:dyDescent="0.25">
      <c r="A931" s="26"/>
      <c r="B931" s="26"/>
    </row>
    <row r="932" spans="1:2" ht="15.75" customHeight="1" x14ac:dyDescent="0.25">
      <c r="A932" s="26"/>
      <c r="B932" s="26"/>
    </row>
    <row r="933" spans="1:2" ht="15.75" customHeight="1" x14ac:dyDescent="0.25">
      <c r="A933" s="26"/>
      <c r="B933" s="26"/>
    </row>
    <row r="934" spans="1:2" ht="15.75" customHeight="1" x14ac:dyDescent="0.25">
      <c r="A934" s="26"/>
      <c r="B934" s="26"/>
    </row>
    <row r="935" spans="1:2" ht="15.75" customHeight="1" x14ac:dyDescent="0.25">
      <c r="A935" s="26"/>
      <c r="B935" s="26"/>
    </row>
    <row r="936" spans="1:2" ht="15.75" customHeight="1" x14ac:dyDescent="0.25">
      <c r="A936" s="26"/>
      <c r="B936" s="26"/>
    </row>
    <row r="937" spans="1:2" ht="15.75" customHeight="1" x14ac:dyDescent="0.25">
      <c r="A937" s="26"/>
      <c r="B937" s="26"/>
    </row>
    <row r="938" spans="1:2" ht="15.75" customHeight="1" x14ac:dyDescent="0.25">
      <c r="A938" s="26"/>
      <c r="B938" s="26"/>
    </row>
    <row r="939" spans="1:2" ht="15.75" customHeight="1" x14ac:dyDescent="0.25">
      <c r="A939" s="26"/>
      <c r="B939" s="26"/>
    </row>
    <row r="940" spans="1:2" ht="15.75" customHeight="1" x14ac:dyDescent="0.25">
      <c r="A940" s="26"/>
      <c r="B940" s="26"/>
    </row>
    <row r="941" spans="1:2" ht="15.75" customHeight="1" x14ac:dyDescent="0.25">
      <c r="A941" s="26"/>
      <c r="B941" s="26"/>
    </row>
    <row r="942" spans="1:2" ht="15.75" customHeight="1" x14ac:dyDescent="0.25">
      <c r="A942" s="26"/>
      <c r="B942" s="26"/>
    </row>
    <row r="943" spans="1:2" ht="15.75" customHeight="1" x14ac:dyDescent="0.25">
      <c r="A943" s="26"/>
      <c r="B943" s="26"/>
    </row>
    <row r="944" spans="1:2" ht="15.75" customHeight="1" x14ac:dyDescent="0.25">
      <c r="A944" s="26"/>
      <c r="B944" s="26"/>
    </row>
    <row r="945" spans="1:2" ht="15.75" customHeight="1" x14ac:dyDescent="0.25">
      <c r="A945" s="26"/>
      <c r="B945" s="26"/>
    </row>
    <row r="946" spans="1:2" ht="15.75" customHeight="1" x14ac:dyDescent="0.25">
      <c r="A946" s="26"/>
      <c r="B946" s="26"/>
    </row>
    <row r="947" spans="1:2" ht="15.75" customHeight="1" x14ac:dyDescent="0.25">
      <c r="A947" s="26"/>
      <c r="B947" s="26"/>
    </row>
    <row r="948" spans="1:2" ht="15.75" customHeight="1" x14ac:dyDescent="0.25">
      <c r="A948" s="26"/>
      <c r="B948" s="26"/>
    </row>
    <row r="949" spans="1:2" ht="15.75" customHeight="1" x14ac:dyDescent="0.25">
      <c r="A949" s="26"/>
      <c r="B949" s="26"/>
    </row>
    <row r="950" spans="1:2" ht="15.75" customHeight="1" x14ac:dyDescent="0.25">
      <c r="A950" s="26"/>
      <c r="B950" s="26"/>
    </row>
    <row r="951" spans="1:2" ht="15.75" customHeight="1" x14ac:dyDescent="0.25">
      <c r="A951" s="26"/>
      <c r="B951" s="26"/>
    </row>
    <row r="952" spans="1:2" ht="15.75" customHeight="1" x14ac:dyDescent="0.25">
      <c r="A952" s="26"/>
      <c r="B952" s="26"/>
    </row>
    <row r="953" spans="1:2" ht="15.75" customHeight="1" x14ac:dyDescent="0.25">
      <c r="A953" s="26"/>
      <c r="B953" s="26"/>
    </row>
    <row r="954" spans="1:2" ht="15.75" customHeight="1" x14ac:dyDescent="0.25">
      <c r="A954" s="26"/>
      <c r="B954" s="26"/>
    </row>
    <row r="955" spans="1:2" ht="15.75" customHeight="1" x14ac:dyDescent="0.25">
      <c r="A955" s="26"/>
      <c r="B955" s="26"/>
    </row>
    <row r="956" spans="1:2" ht="15.75" customHeight="1" x14ac:dyDescent="0.25">
      <c r="A956" s="26"/>
      <c r="B956" s="26"/>
    </row>
    <row r="957" spans="1:2" ht="15.75" customHeight="1" x14ac:dyDescent="0.25">
      <c r="A957" s="26"/>
      <c r="B957" s="26"/>
    </row>
    <row r="958" spans="1:2" ht="15.75" customHeight="1" x14ac:dyDescent="0.25">
      <c r="A958" s="26"/>
      <c r="B958" s="26"/>
    </row>
    <row r="959" spans="1:2" ht="15.75" customHeight="1" x14ac:dyDescent="0.25">
      <c r="A959" s="26"/>
      <c r="B959" s="26"/>
    </row>
    <row r="960" spans="1:2" ht="15.75" customHeight="1" x14ac:dyDescent="0.25">
      <c r="A960" s="26"/>
      <c r="B960" s="26"/>
    </row>
    <row r="961" spans="1:2" ht="15.75" customHeight="1" x14ac:dyDescent="0.25">
      <c r="A961" s="26"/>
      <c r="B961" s="26"/>
    </row>
    <row r="962" spans="1:2" ht="15.75" customHeight="1" x14ac:dyDescent="0.25">
      <c r="A962" s="26"/>
      <c r="B962" s="26"/>
    </row>
    <row r="963" spans="1:2" ht="15.75" customHeight="1" x14ac:dyDescent="0.25">
      <c r="A963" s="26"/>
      <c r="B963" s="26"/>
    </row>
    <row r="964" spans="1:2" ht="15.75" customHeight="1" x14ac:dyDescent="0.25">
      <c r="A964" s="26"/>
      <c r="B964" s="26"/>
    </row>
    <row r="965" spans="1:2" ht="15.75" customHeight="1" x14ac:dyDescent="0.25">
      <c r="A965" s="26"/>
      <c r="B965" s="26"/>
    </row>
    <row r="966" spans="1:2" ht="15.75" customHeight="1" x14ac:dyDescent="0.25">
      <c r="A966" s="26"/>
      <c r="B966" s="26"/>
    </row>
    <row r="967" spans="1:2" ht="15.75" customHeight="1" x14ac:dyDescent="0.25">
      <c r="A967" s="26"/>
      <c r="B967" s="26"/>
    </row>
    <row r="968" spans="1:2" ht="15.75" customHeight="1" x14ac:dyDescent="0.25">
      <c r="A968" s="26"/>
      <c r="B968" s="26"/>
    </row>
    <row r="969" spans="1:2" ht="15.75" customHeight="1" x14ac:dyDescent="0.25">
      <c r="A969" s="26"/>
      <c r="B969" s="26"/>
    </row>
    <row r="970" spans="1:2" ht="15.75" customHeight="1" x14ac:dyDescent="0.25">
      <c r="A970" s="26"/>
      <c r="B970" s="26"/>
    </row>
    <row r="971" spans="1:2" ht="15.75" customHeight="1" x14ac:dyDescent="0.25">
      <c r="A971" s="26"/>
      <c r="B971" s="26"/>
    </row>
    <row r="972" spans="1:2" ht="15.75" customHeight="1" x14ac:dyDescent="0.25">
      <c r="A972" s="26"/>
      <c r="B972" s="26"/>
    </row>
    <row r="973" spans="1:2" ht="15.75" customHeight="1" x14ac:dyDescent="0.25">
      <c r="A973" s="26"/>
      <c r="B973" s="26"/>
    </row>
    <row r="974" spans="1:2" ht="15.75" customHeight="1" x14ac:dyDescent="0.25">
      <c r="A974" s="26"/>
      <c r="B974" s="26"/>
    </row>
    <row r="975" spans="1:2" ht="15.75" customHeight="1" x14ac:dyDescent="0.25">
      <c r="A975" s="26"/>
      <c r="B975" s="26"/>
    </row>
    <row r="976" spans="1:2" ht="15.75" customHeight="1" x14ac:dyDescent="0.25">
      <c r="A976" s="26"/>
      <c r="B976" s="26"/>
    </row>
    <row r="977" spans="1:2" ht="15.75" customHeight="1" x14ac:dyDescent="0.25">
      <c r="A977" s="26"/>
      <c r="B977" s="26"/>
    </row>
    <row r="978" spans="1:2" ht="15.75" customHeight="1" x14ac:dyDescent="0.25">
      <c r="A978" s="26"/>
      <c r="B978" s="26"/>
    </row>
    <row r="979" spans="1:2" ht="15.75" customHeight="1" x14ac:dyDescent="0.25">
      <c r="A979" s="26"/>
      <c r="B979" s="26"/>
    </row>
    <row r="980" spans="1:2" ht="15.75" customHeight="1" x14ac:dyDescent="0.25">
      <c r="A980" s="26"/>
      <c r="B980" s="26"/>
    </row>
    <row r="981" spans="1:2" ht="15.75" customHeight="1" x14ac:dyDescent="0.25">
      <c r="A981" s="26"/>
      <c r="B981" s="26"/>
    </row>
    <row r="982" spans="1:2" ht="15.75" customHeight="1" x14ac:dyDescent="0.25">
      <c r="A982" s="26"/>
      <c r="B982" s="26"/>
    </row>
    <row r="983" spans="1:2" ht="15.75" customHeight="1" x14ac:dyDescent="0.25">
      <c r="A983" s="26"/>
      <c r="B983" s="26"/>
    </row>
    <row r="984" spans="1:2" ht="15.75" customHeight="1" x14ac:dyDescent="0.25">
      <c r="A984" s="26"/>
      <c r="B984" s="26"/>
    </row>
    <row r="985" spans="1:2" ht="15.75" customHeight="1" x14ac:dyDescent="0.25">
      <c r="A985" s="26"/>
      <c r="B985" s="26"/>
    </row>
    <row r="986" spans="1:2" ht="15.75" customHeight="1" x14ac:dyDescent="0.25">
      <c r="A986" s="26"/>
      <c r="B986" s="26"/>
    </row>
    <row r="987" spans="1:2" ht="15.75" customHeight="1" x14ac:dyDescent="0.25">
      <c r="A987" s="26"/>
      <c r="B987" s="26"/>
    </row>
    <row r="988" spans="1:2" ht="15.75" customHeight="1" x14ac:dyDescent="0.25">
      <c r="A988" s="26"/>
      <c r="B988" s="26"/>
    </row>
    <row r="989" spans="1:2" ht="15.75" customHeight="1" x14ac:dyDescent="0.25">
      <c r="A989" s="26"/>
      <c r="B989" s="26"/>
    </row>
    <row r="990" spans="1:2" ht="15.75" customHeight="1" x14ac:dyDescent="0.25">
      <c r="A990" s="26"/>
      <c r="B990" s="26"/>
    </row>
    <row r="991" spans="1:2" ht="15.75" customHeight="1" x14ac:dyDescent="0.25">
      <c r="A991" s="26"/>
      <c r="B991" s="26"/>
    </row>
    <row r="992" spans="1:2" ht="15.75" customHeight="1" x14ac:dyDescent="0.25">
      <c r="A992" s="26"/>
      <c r="B992" s="26"/>
    </row>
    <row r="993" spans="1:2" ht="15.75" customHeight="1" x14ac:dyDescent="0.25">
      <c r="A993" s="26"/>
      <c r="B993" s="26"/>
    </row>
    <row r="994" spans="1:2" ht="15.75" customHeight="1" x14ac:dyDescent="0.25">
      <c r="A994" s="26"/>
      <c r="B994" s="26"/>
    </row>
    <row r="995" spans="1:2" ht="15.75" customHeight="1" x14ac:dyDescent="0.25">
      <c r="A995" s="26"/>
      <c r="B995" s="26"/>
    </row>
    <row r="996" spans="1:2" ht="15.75" customHeight="1" x14ac:dyDescent="0.25">
      <c r="A996" s="26"/>
      <c r="B996" s="26"/>
    </row>
    <row r="997" spans="1:2" ht="15.75" customHeight="1" x14ac:dyDescent="0.25">
      <c r="A997" s="26"/>
      <c r="B997" s="26"/>
    </row>
    <row r="998" spans="1:2" ht="15.75" customHeight="1" x14ac:dyDescent="0.25">
      <c r="A998" s="26"/>
      <c r="B998" s="26"/>
    </row>
    <row r="999" spans="1:2" ht="15.75" customHeight="1" x14ac:dyDescent="0.25">
      <c r="A999" s="26"/>
      <c r="B999" s="26"/>
    </row>
    <row r="1000" spans="1:2" ht="15.75" customHeight="1" x14ac:dyDescent="0.25">
      <c r="A1000" s="26"/>
      <c r="B1000" s="26"/>
    </row>
    <row r="1001" spans="1:2" ht="15.75" customHeight="1" x14ac:dyDescent="0.25">
      <c r="A1001" s="26"/>
      <c r="B1001" s="26"/>
    </row>
    <row r="1002" spans="1:2" ht="15.75" customHeight="1" x14ac:dyDescent="0.25">
      <c r="A1002" s="26"/>
      <c r="B1002" s="26"/>
    </row>
    <row r="1003" spans="1:2" ht="15.75" customHeight="1" x14ac:dyDescent="0.25">
      <c r="A1003" s="26"/>
      <c r="B1003" s="26"/>
    </row>
    <row r="1004" spans="1:2" ht="15.75" customHeight="1" x14ac:dyDescent="0.25">
      <c r="A1004" s="26"/>
      <c r="B1004" s="26"/>
    </row>
    <row r="1005" spans="1:2" ht="15.75" customHeight="1" x14ac:dyDescent="0.25">
      <c r="A1005" s="26"/>
      <c r="B1005" s="26"/>
    </row>
    <row r="1006" spans="1:2" ht="15.75" customHeight="1" x14ac:dyDescent="0.25">
      <c r="A1006" s="26"/>
      <c r="B1006" s="26"/>
    </row>
    <row r="1007" spans="1:2" ht="15.75" customHeight="1" x14ac:dyDescent="0.25">
      <c r="A1007" s="26"/>
      <c r="B1007" s="26"/>
    </row>
    <row r="1008" spans="1:2" ht="15.75" customHeight="1" x14ac:dyDescent="0.25">
      <c r="A1008" s="26"/>
      <c r="B1008" s="26"/>
    </row>
    <row r="1009" spans="1:2" ht="15.75" customHeight="1" x14ac:dyDescent="0.25">
      <c r="A1009" s="26"/>
      <c r="B1009" s="26"/>
    </row>
    <row r="1010" spans="1:2" ht="15.75" customHeight="1" x14ac:dyDescent="0.25">
      <c r="A1010" s="26"/>
      <c r="B1010" s="26"/>
    </row>
    <row r="1011" spans="1:2" ht="15.75" customHeight="1" x14ac:dyDescent="0.25">
      <c r="A1011" s="26"/>
      <c r="B1011" s="26"/>
    </row>
    <row r="1012" spans="1:2" ht="15.75" customHeight="1" x14ac:dyDescent="0.25">
      <c r="A1012" s="26"/>
      <c r="B1012" s="26"/>
    </row>
    <row r="1013" spans="1:2" ht="15.75" customHeight="1" x14ac:dyDescent="0.25">
      <c r="A1013" s="26"/>
      <c r="B1013" s="26"/>
    </row>
    <row r="1014" spans="1:2" ht="15.75" customHeight="1" x14ac:dyDescent="0.25">
      <c r="A1014" s="26"/>
      <c r="B1014" s="26"/>
    </row>
    <row r="1015" spans="1:2" ht="15.75" customHeight="1" x14ac:dyDescent="0.25">
      <c r="A1015" s="26"/>
      <c r="B1015" s="26"/>
    </row>
    <row r="1016" spans="1:2" ht="15.75" customHeight="1" x14ac:dyDescent="0.25">
      <c r="A1016" s="26"/>
      <c r="B1016" s="26"/>
    </row>
    <row r="1017" spans="1:2" ht="15.75" customHeight="1" x14ac:dyDescent="0.25">
      <c r="A1017" s="26"/>
      <c r="B1017" s="26"/>
    </row>
    <row r="1018" spans="1:2" ht="15.75" customHeight="1" x14ac:dyDescent="0.25">
      <c r="A1018" s="26"/>
      <c r="B1018" s="26"/>
    </row>
    <row r="1019" spans="1:2" ht="15.75" customHeight="1" x14ac:dyDescent="0.25">
      <c r="A1019" s="26"/>
      <c r="B1019" s="26"/>
    </row>
    <row r="1020" spans="1:2" ht="15.75" customHeight="1" x14ac:dyDescent="0.25">
      <c r="A1020" s="26"/>
      <c r="B1020" s="26"/>
    </row>
    <row r="1021" spans="1:2" ht="15.75" customHeight="1" x14ac:dyDescent="0.25">
      <c r="A1021" s="26"/>
      <c r="B1021" s="26"/>
    </row>
    <row r="1022" spans="1:2" ht="15.75" customHeight="1" x14ac:dyDescent="0.25">
      <c r="A1022" s="26"/>
      <c r="B1022" s="26"/>
    </row>
    <row r="1023" spans="1:2" ht="15.75" customHeight="1" x14ac:dyDescent="0.25">
      <c r="A1023" s="26"/>
      <c r="B1023" s="26"/>
    </row>
    <row r="1024" spans="1:2" ht="15.75" customHeight="1" x14ac:dyDescent="0.25">
      <c r="A1024" s="26"/>
      <c r="B1024" s="26"/>
    </row>
    <row r="1025" spans="1:2" ht="15.75" customHeight="1" x14ac:dyDescent="0.25">
      <c r="A1025" s="26"/>
      <c r="B1025" s="26"/>
    </row>
    <row r="1026" spans="1:2" ht="15.75" customHeight="1" x14ac:dyDescent="0.25">
      <c r="A1026" s="26"/>
      <c r="B1026" s="26"/>
    </row>
    <row r="1027" spans="1:2" ht="15.75" customHeight="1" x14ac:dyDescent="0.25">
      <c r="A1027" s="26"/>
      <c r="B1027" s="26"/>
    </row>
    <row r="1028" spans="1:2" ht="15.75" customHeight="1" x14ac:dyDescent="0.25">
      <c r="A1028" s="26"/>
      <c r="B1028" s="26"/>
    </row>
    <row r="1029" spans="1:2" ht="15.75" customHeight="1" x14ac:dyDescent="0.25">
      <c r="A1029" s="26"/>
      <c r="B1029" s="26"/>
    </row>
    <row r="1030" spans="1:2" ht="15.75" customHeight="1" x14ac:dyDescent="0.25">
      <c r="A1030" s="26"/>
      <c r="B1030" s="26"/>
    </row>
    <row r="1031" spans="1:2" ht="15.75" customHeight="1" x14ac:dyDescent="0.25">
      <c r="A1031" s="26"/>
      <c r="B1031" s="26"/>
    </row>
    <row r="1032" spans="1:2" ht="15.75" customHeight="1" x14ac:dyDescent="0.25">
      <c r="A1032" s="26"/>
      <c r="B1032" s="26"/>
    </row>
    <row r="1033" spans="1:2" ht="15.75" customHeight="1" x14ac:dyDescent="0.25">
      <c r="A1033" s="26"/>
      <c r="B1033" s="26"/>
    </row>
    <row r="1034" spans="1:2" ht="15.75" customHeight="1" x14ac:dyDescent="0.25">
      <c r="A1034" s="26"/>
      <c r="B1034" s="26"/>
    </row>
    <row r="1035" spans="1:2" ht="15.75" customHeight="1" x14ac:dyDescent="0.25">
      <c r="A1035" s="26"/>
      <c r="B1035" s="26"/>
    </row>
    <row r="1036" spans="1:2" ht="15.75" customHeight="1" x14ac:dyDescent="0.25">
      <c r="A1036" s="26"/>
      <c r="B1036" s="26"/>
    </row>
    <row r="1037" spans="1:2" ht="15.75" customHeight="1" x14ac:dyDescent="0.25">
      <c r="A1037" s="26"/>
      <c r="B1037" s="26"/>
    </row>
    <row r="1038" spans="1:2" ht="15.75" customHeight="1" x14ac:dyDescent="0.25">
      <c r="A1038" s="26"/>
      <c r="B1038" s="26"/>
    </row>
    <row r="1039" spans="1:2" ht="15.75" customHeight="1" x14ac:dyDescent="0.25">
      <c r="A1039" s="26"/>
      <c r="B1039" s="26"/>
    </row>
    <row r="1040" spans="1:2" ht="15.75" customHeight="1" x14ac:dyDescent="0.25">
      <c r="A1040" s="26"/>
      <c r="B1040" s="26"/>
    </row>
    <row r="1041" spans="1:2" ht="15.75" customHeight="1" x14ac:dyDescent="0.25">
      <c r="A1041" s="26"/>
      <c r="B1041" s="26"/>
    </row>
    <row r="1042" spans="1:2" ht="15.75" customHeight="1" x14ac:dyDescent="0.25">
      <c r="A1042" s="26"/>
      <c r="B1042" s="26"/>
    </row>
    <row r="1043" spans="1:2" ht="15.75" customHeight="1" x14ac:dyDescent="0.25">
      <c r="A1043" s="26"/>
      <c r="B1043" s="26"/>
    </row>
    <row r="1044" spans="1:2" ht="15.75" customHeight="1" x14ac:dyDescent="0.25">
      <c r="A1044" s="26"/>
      <c r="B1044" s="26"/>
    </row>
    <row r="1045" spans="1:2" ht="15.75" customHeight="1" x14ac:dyDescent="0.25">
      <c r="A1045" s="26"/>
      <c r="B1045" s="26"/>
    </row>
    <row r="1046" spans="1:2" ht="15.75" customHeight="1" x14ac:dyDescent="0.25">
      <c r="A1046" s="26"/>
      <c r="B1046" s="26"/>
    </row>
    <row r="1047" spans="1:2" ht="15.75" customHeight="1" x14ac:dyDescent="0.25">
      <c r="A1047" s="26"/>
      <c r="B1047" s="26"/>
    </row>
    <row r="1048" spans="1:2" ht="15.75" customHeight="1" x14ac:dyDescent="0.25">
      <c r="A1048" s="26"/>
      <c r="B1048" s="26"/>
    </row>
    <row r="1049" spans="1:2" ht="15.75" customHeight="1" x14ac:dyDescent="0.25">
      <c r="A1049" s="26"/>
      <c r="B1049" s="26"/>
    </row>
    <row r="1050" spans="1:2" ht="15.75" customHeight="1" x14ac:dyDescent="0.25">
      <c r="A1050" s="26"/>
      <c r="B1050" s="26"/>
    </row>
    <row r="1051" spans="1:2" ht="15.75" customHeight="1" x14ac:dyDescent="0.25">
      <c r="A1051" s="26"/>
      <c r="B1051" s="26"/>
    </row>
    <row r="1052" spans="1:2" ht="15.75" customHeight="1" x14ac:dyDescent="0.25">
      <c r="A1052" s="26"/>
      <c r="B1052" s="26"/>
    </row>
    <row r="1053" spans="1:2" ht="15.75" customHeight="1" x14ac:dyDescent="0.25">
      <c r="A1053" s="26"/>
      <c r="B1053" s="26"/>
    </row>
    <row r="1054" spans="1:2" ht="15.75" customHeight="1" x14ac:dyDescent="0.25">
      <c r="A1054" s="26"/>
      <c r="B1054" s="26"/>
    </row>
    <row r="1055" spans="1:2" ht="15.75" customHeight="1" x14ac:dyDescent="0.25">
      <c r="A1055" s="26"/>
      <c r="B1055" s="26"/>
    </row>
    <row r="1056" spans="1:2" ht="15.75" customHeight="1" x14ac:dyDescent="0.25">
      <c r="A1056" s="26"/>
      <c r="B1056" s="26"/>
    </row>
    <row r="1057" spans="1:2" ht="15.75" customHeight="1" x14ac:dyDescent="0.25">
      <c r="A1057" s="26"/>
      <c r="B1057" s="26"/>
    </row>
    <row r="1058" spans="1:2" ht="15.75" customHeight="1" x14ac:dyDescent="0.25">
      <c r="A1058" s="26"/>
      <c r="B1058" s="26"/>
    </row>
    <row r="1059" spans="1:2" ht="15.75" customHeight="1" x14ac:dyDescent="0.25">
      <c r="A1059" s="26"/>
      <c r="B1059" s="26"/>
    </row>
    <row r="1060" spans="1:2" ht="15.75" customHeight="1" x14ac:dyDescent="0.25">
      <c r="A1060" s="26"/>
      <c r="B1060" s="26"/>
    </row>
    <row r="1061" spans="1:2" ht="15.75" customHeight="1" x14ac:dyDescent="0.25">
      <c r="A1061" s="26"/>
      <c r="B1061" s="26"/>
    </row>
    <row r="1062" spans="1:2" ht="15.75" customHeight="1" x14ac:dyDescent="0.25">
      <c r="A1062" s="26"/>
      <c r="B1062" s="26"/>
    </row>
    <row r="1063" spans="1:2" ht="15.75" customHeight="1" x14ac:dyDescent="0.25">
      <c r="A1063" s="26"/>
      <c r="B1063" s="26"/>
    </row>
    <row r="1064" spans="1:2" ht="15.75" customHeight="1" x14ac:dyDescent="0.25">
      <c r="A1064" s="26"/>
      <c r="B1064" s="26"/>
    </row>
    <row r="1065" spans="1:2" ht="15.75" customHeight="1" x14ac:dyDescent="0.25">
      <c r="A1065" s="26"/>
      <c r="B1065" s="26"/>
    </row>
    <row r="1066" spans="1:2" ht="15.75" customHeight="1" x14ac:dyDescent="0.25">
      <c r="A1066" s="26"/>
      <c r="B1066" s="26"/>
    </row>
    <row r="1067" spans="1:2" ht="15.75" customHeight="1" x14ac:dyDescent="0.25">
      <c r="A1067" s="26"/>
      <c r="B1067" s="26"/>
    </row>
    <row r="1068" spans="1:2" ht="15.75" customHeight="1" x14ac:dyDescent="0.25">
      <c r="A1068" s="26"/>
      <c r="B1068" s="26"/>
    </row>
    <row r="1069" spans="1:2" ht="15.75" customHeight="1" x14ac:dyDescent="0.25">
      <c r="A1069" s="26"/>
      <c r="B1069" s="26"/>
    </row>
    <row r="1070" spans="1:2" ht="15.75" customHeight="1" x14ac:dyDescent="0.25">
      <c r="A1070" s="26"/>
      <c r="B1070" s="26"/>
    </row>
    <row r="1071" spans="1:2" ht="15.75" customHeight="1" x14ac:dyDescent="0.25">
      <c r="A1071" s="26"/>
      <c r="B1071" s="26"/>
    </row>
    <row r="1072" spans="1:2" ht="15.75" customHeight="1" x14ac:dyDescent="0.25">
      <c r="A1072" s="26"/>
      <c r="B1072" s="26"/>
    </row>
    <row r="1073" spans="1:2" ht="15.75" customHeight="1" x14ac:dyDescent="0.25">
      <c r="A1073" s="26"/>
      <c r="B1073" s="26"/>
    </row>
    <row r="1074" spans="1:2" ht="15.75" customHeight="1" x14ac:dyDescent="0.25">
      <c r="A1074" s="26"/>
      <c r="B1074" s="26"/>
    </row>
    <row r="1075" spans="1:2" ht="15.75" customHeight="1" x14ac:dyDescent="0.25">
      <c r="A1075" s="26"/>
      <c r="B1075" s="26"/>
    </row>
    <row r="1076" spans="1:2" ht="15.75" customHeight="1" x14ac:dyDescent="0.25">
      <c r="A1076" s="26"/>
      <c r="B1076" s="26"/>
    </row>
    <row r="1077" spans="1:2" ht="15.75" customHeight="1" x14ac:dyDescent="0.25">
      <c r="A1077" s="26"/>
      <c r="B1077" s="26"/>
    </row>
    <row r="1078" spans="1:2" ht="15.75" customHeight="1" x14ac:dyDescent="0.25">
      <c r="A1078" s="26"/>
      <c r="B1078" s="26"/>
    </row>
    <row r="1079" spans="1:2" ht="15.75" customHeight="1" x14ac:dyDescent="0.25">
      <c r="A1079" s="26"/>
      <c r="B1079" s="26"/>
    </row>
    <row r="1080" spans="1:2" ht="15.75" customHeight="1" x14ac:dyDescent="0.25">
      <c r="A1080" s="26"/>
      <c r="B1080" s="26"/>
    </row>
    <row r="1081" spans="1:2" ht="15.75" customHeight="1" x14ac:dyDescent="0.25">
      <c r="A1081" s="26"/>
      <c r="B1081" s="26"/>
    </row>
    <row r="1082" spans="1:2" ht="15.75" customHeight="1" x14ac:dyDescent="0.25">
      <c r="A1082" s="26"/>
      <c r="B1082" s="26"/>
    </row>
    <row r="1083" spans="1:2" ht="15.75" customHeight="1" x14ac:dyDescent="0.25">
      <c r="A1083" s="26"/>
      <c r="B1083" s="26"/>
    </row>
    <row r="1084" spans="1:2" ht="15.75" customHeight="1" x14ac:dyDescent="0.25">
      <c r="A1084" s="26"/>
      <c r="B1084" s="26"/>
    </row>
    <row r="1085" spans="1:2" ht="15.75" customHeight="1" x14ac:dyDescent="0.25">
      <c r="A1085" s="26"/>
      <c r="B1085" s="26"/>
    </row>
    <row r="1086" spans="1:2" ht="15.75" customHeight="1" x14ac:dyDescent="0.25">
      <c r="A1086" s="26"/>
      <c r="B1086" s="26"/>
    </row>
    <row r="1087" spans="1:2" ht="15.75" customHeight="1" x14ac:dyDescent="0.25">
      <c r="A1087" s="26"/>
      <c r="B1087" s="26"/>
    </row>
    <row r="1088" spans="1:2" ht="15.75" customHeight="1" x14ac:dyDescent="0.25">
      <c r="A1088" s="26"/>
      <c r="B1088" s="26"/>
    </row>
    <row r="1089" spans="1:2" ht="15.75" customHeight="1" x14ac:dyDescent="0.25">
      <c r="A1089" s="26"/>
      <c r="B1089" s="26"/>
    </row>
    <row r="1090" spans="1:2" ht="15.75" customHeight="1" x14ac:dyDescent="0.25">
      <c r="A1090" s="26"/>
      <c r="B1090" s="26"/>
    </row>
    <row r="1091" spans="1:2" ht="15.75" customHeight="1" x14ac:dyDescent="0.25">
      <c r="A1091" s="26"/>
      <c r="B1091" s="26"/>
    </row>
    <row r="1092" spans="1:2" ht="15.75" customHeight="1" x14ac:dyDescent="0.25">
      <c r="A1092" s="26"/>
      <c r="B1092" s="26"/>
    </row>
    <row r="1093" spans="1:2" ht="15.75" customHeight="1" x14ac:dyDescent="0.25">
      <c r="A1093" s="26"/>
      <c r="B1093" s="26"/>
    </row>
    <row r="1094" spans="1:2" ht="15.75" customHeight="1" x14ac:dyDescent="0.25">
      <c r="A1094" s="26"/>
      <c r="B1094" s="26"/>
    </row>
    <row r="1095" spans="1:2" ht="15.75" customHeight="1" x14ac:dyDescent="0.25">
      <c r="A1095" s="26"/>
      <c r="B1095" s="26"/>
    </row>
    <row r="1096" spans="1:2" ht="15.75" customHeight="1" x14ac:dyDescent="0.25">
      <c r="A1096" s="26"/>
      <c r="B1096" s="26"/>
    </row>
    <row r="1097" spans="1:2" ht="15.75" customHeight="1" x14ac:dyDescent="0.25">
      <c r="A1097" s="26"/>
      <c r="B1097" s="26"/>
    </row>
    <row r="1098" spans="1:2" ht="15.75" customHeight="1" x14ac:dyDescent="0.25">
      <c r="A1098" s="26"/>
      <c r="B1098" s="26"/>
    </row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98"/>
  <sheetViews>
    <sheetView workbookViewId="0"/>
  </sheetViews>
  <sheetFormatPr baseColWidth="10" defaultColWidth="14.42578125" defaultRowHeight="15" customHeight="1" x14ac:dyDescent="0.25"/>
  <cols>
    <col min="1" max="1" width="21.28515625" customWidth="1"/>
    <col min="2" max="2" width="19.140625" customWidth="1"/>
    <col min="3" max="3" width="23.28515625" customWidth="1"/>
    <col min="4" max="4" width="12.140625" customWidth="1"/>
    <col min="5" max="6" width="17.28515625" customWidth="1"/>
    <col min="7" max="7" width="11.7109375" customWidth="1"/>
    <col min="8" max="8" width="15.42578125" customWidth="1"/>
    <col min="9" max="9" width="9.140625" customWidth="1"/>
    <col min="10" max="24" width="10" customWidth="1"/>
  </cols>
  <sheetData>
    <row r="1" spans="1:24" ht="15.75" x14ac:dyDescent="0.25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24" x14ac:dyDescent="0.25">
      <c r="A2" s="1" t="s">
        <v>9</v>
      </c>
      <c r="B2" s="6">
        <v>46252</v>
      </c>
      <c r="C2" s="4"/>
      <c r="D2" s="4"/>
      <c r="E2" s="4"/>
      <c r="F2" s="4"/>
      <c r="G2" s="4"/>
      <c r="H2" s="4"/>
    </row>
    <row r="3" spans="1:24" x14ac:dyDescent="0.25">
      <c r="A3" s="1"/>
      <c r="B3" s="1"/>
      <c r="C3" s="4"/>
      <c r="D3" s="4"/>
      <c r="E3" s="4"/>
      <c r="F3" s="4"/>
      <c r="G3" s="4"/>
      <c r="H3" s="4"/>
    </row>
    <row r="4" spans="1:24" ht="27" customHeight="1" x14ac:dyDescent="0.35">
      <c r="A4" s="7"/>
      <c r="B4" s="8" t="s">
        <v>2</v>
      </c>
      <c r="C4" s="9"/>
      <c r="E4" s="10"/>
      <c r="F4" s="11"/>
      <c r="G4" s="11"/>
      <c r="H4" s="4"/>
    </row>
    <row r="5" spans="1:24" x14ac:dyDescent="0.25">
      <c r="A5" s="13" t="s">
        <v>3</v>
      </c>
      <c r="B5" s="13" t="s">
        <v>4</v>
      </c>
      <c r="C5" s="14" t="s">
        <v>5</v>
      </c>
      <c r="D5" s="14" t="s">
        <v>6</v>
      </c>
      <c r="E5" s="14" t="s">
        <v>10</v>
      </c>
      <c r="F5" s="14" t="s">
        <v>7</v>
      </c>
      <c r="G5" s="14" t="s">
        <v>8</v>
      </c>
      <c r="I5" s="15"/>
      <c r="J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5.75" customHeight="1" x14ac:dyDescent="0.25">
      <c r="A6" s="16">
        <v>6324</v>
      </c>
      <c r="B6" s="17">
        <v>1</v>
      </c>
      <c r="C6" s="17" t="s">
        <v>11</v>
      </c>
      <c r="D6" s="16" t="s">
        <v>12</v>
      </c>
      <c r="E6" s="16"/>
      <c r="F6" s="16" t="s">
        <v>17</v>
      </c>
      <c r="G6" s="16">
        <v>166.98</v>
      </c>
    </row>
    <row r="7" spans="1:24" ht="15.75" customHeight="1" x14ac:dyDescent="0.25">
      <c r="A7" s="18">
        <v>3512</v>
      </c>
      <c r="B7" s="17">
        <v>2</v>
      </c>
      <c r="C7" s="17" t="s">
        <v>14</v>
      </c>
      <c r="D7" s="16" t="s">
        <v>15</v>
      </c>
      <c r="E7" s="16"/>
      <c r="F7" s="16" t="s">
        <v>21</v>
      </c>
      <c r="G7" s="16">
        <v>141.74</v>
      </c>
      <c r="I7" s="20"/>
      <c r="P7" s="20"/>
      <c r="Q7" s="20"/>
      <c r="R7" s="20"/>
      <c r="S7" s="20"/>
      <c r="T7" s="20"/>
      <c r="U7" s="20"/>
      <c r="V7" s="20"/>
      <c r="W7" s="20"/>
      <c r="X7" s="20"/>
    </row>
    <row r="8" spans="1:24" ht="15.75" customHeight="1" x14ac:dyDescent="0.25">
      <c r="A8" s="18">
        <v>4164</v>
      </c>
      <c r="B8" s="17">
        <v>3</v>
      </c>
      <c r="C8" s="17" t="s">
        <v>13</v>
      </c>
      <c r="D8" s="16" t="s">
        <v>16</v>
      </c>
      <c r="E8" s="16"/>
      <c r="F8" s="16" t="s">
        <v>20</v>
      </c>
      <c r="G8" s="16">
        <v>141.31</v>
      </c>
      <c r="I8" s="20"/>
      <c r="P8" s="20"/>
      <c r="Q8" s="20"/>
      <c r="R8" s="20"/>
      <c r="S8" s="20"/>
      <c r="T8" s="20"/>
      <c r="U8" s="20"/>
      <c r="V8" s="20"/>
      <c r="W8" s="20"/>
      <c r="X8" s="20"/>
    </row>
    <row r="9" spans="1:24" ht="15.75" customHeight="1" x14ac:dyDescent="0.25">
      <c r="A9" s="18">
        <v>1800</v>
      </c>
      <c r="B9" s="17">
        <v>4</v>
      </c>
      <c r="C9" s="17" t="s">
        <v>22</v>
      </c>
      <c r="D9" s="16" t="s">
        <v>25</v>
      </c>
      <c r="E9" s="16"/>
      <c r="F9" s="16" t="s">
        <v>28</v>
      </c>
      <c r="G9" s="16">
        <v>129.9</v>
      </c>
      <c r="I9" s="20"/>
      <c r="P9" s="20"/>
      <c r="Q9" s="20"/>
      <c r="R9" s="20"/>
      <c r="S9" s="20"/>
      <c r="T9" s="20"/>
      <c r="U9" s="20"/>
      <c r="V9" s="20"/>
      <c r="W9" s="20"/>
      <c r="X9" s="20"/>
    </row>
    <row r="10" spans="1:24" ht="15.75" customHeight="1" x14ac:dyDescent="0.25">
      <c r="A10" s="18">
        <v>4341</v>
      </c>
      <c r="B10" s="17">
        <v>5</v>
      </c>
      <c r="C10" s="17" t="s">
        <v>43</v>
      </c>
      <c r="D10" s="16" t="s">
        <v>44</v>
      </c>
      <c r="E10" s="16"/>
      <c r="F10" s="16" t="s">
        <v>45</v>
      </c>
      <c r="G10" s="16">
        <v>110.86</v>
      </c>
      <c r="I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ht="15.75" customHeight="1" x14ac:dyDescent="0.25">
      <c r="A11" s="18">
        <v>4337</v>
      </c>
      <c r="B11" s="17">
        <v>6</v>
      </c>
      <c r="C11" s="17" t="s">
        <v>31</v>
      </c>
      <c r="D11" s="16" t="s">
        <v>33</v>
      </c>
      <c r="E11" s="16"/>
      <c r="F11" s="16" t="s">
        <v>36</v>
      </c>
      <c r="G11" s="16">
        <v>107.36</v>
      </c>
      <c r="I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5.75" customHeight="1" x14ac:dyDescent="0.25">
      <c r="A12" s="18">
        <v>1831</v>
      </c>
      <c r="B12" s="17">
        <v>7</v>
      </c>
      <c r="C12" s="17" t="s">
        <v>52</v>
      </c>
      <c r="D12" s="16" t="s">
        <v>53</v>
      </c>
      <c r="E12" s="16"/>
      <c r="F12" s="16" t="s">
        <v>28</v>
      </c>
      <c r="G12" s="16">
        <v>101.72</v>
      </c>
      <c r="I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15.75" customHeight="1" x14ac:dyDescent="0.25">
      <c r="A13" s="18">
        <v>2001</v>
      </c>
      <c r="B13" s="17">
        <v>8</v>
      </c>
      <c r="C13" s="17" t="s">
        <v>46</v>
      </c>
      <c r="D13" s="16" t="s">
        <v>47</v>
      </c>
      <c r="E13" s="16"/>
      <c r="F13" s="16" t="s">
        <v>27</v>
      </c>
      <c r="G13" s="16">
        <v>101.46</v>
      </c>
      <c r="I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ht="15.75" customHeight="1" x14ac:dyDescent="0.25">
      <c r="A14" s="18">
        <v>5982</v>
      </c>
      <c r="B14" s="17">
        <v>9</v>
      </c>
      <c r="C14" s="17" t="s">
        <v>55</v>
      </c>
      <c r="D14" s="16" t="s">
        <v>56</v>
      </c>
      <c r="E14" s="16"/>
      <c r="F14" s="16" t="s">
        <v>57</v>
      </c>
      <c r="G14" s="16">
        <v>99.54</v>
      </c>
      <c r="I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ht="15.75" customHeight="1" x14ac:dyDescent="0.25">
      <c r="A15" s="18">
        <v>4152</v>
      </c>
      <c r="B15" s="17">
        <v>10</v>
      </c>
      <c r="C15" s="17" t="s">
        <v>37</v>
      </c>
      <c r="D15" s="16" t="s">
        <v>38</v>
      </c>
      <c r="E15" s="16"/>
      <c r="F15" s="16" t="s">
        <v>39</v>
      </c>
      <c r="G15" s="16">
        <v>96.28</v>
      </c>
      <c r="I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ht="15.75" customHeight="1" x14ac:dyDescent="0.25">
      <c r="A16" s="18">
        <v>4118</v>
      </c>
      <c r="B16" s="17">
        <v>11</v>
      </c>
      <c r="C16" s="17" t="s">
        <v>62</v>
      </c>
      <c r="D16" s="16" t="s">
        <v>63</v>
      </c>
      <c r="E16" s="16"/>
      <c r="F16" s="16" t="s">
        <v>20</v>
      </c>
      <c r="G16" s="16">
        <v>95.9</v>
      </c>
      <c r="I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5.75" customHeight="1" x14ac:dyDescent="0.25">
      <c r="A17" s="18">
        <v>5987</v>
      </c>
      <c r="B17" s="17">
        <v>12</v>
      </c>
      <c r="C17" s="17" t="s">
        <v>60</v>
      </c>
      <c r="D17" s="16" t="s">
        <v>61</v>
      </c>
      <c r="E17" s="16"/>
      <c r="F17" s="16" t="s">
        <v>34</v>
      </c>
      <c r="G17" s="16">
        <v>95.54</v>
      </c>
      <c r="I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5.75" customHeight="1" x14ac:dyDescent="0.25">
      <c r="A18" s="18">
        <v>4316</v>
      </c>
      <c r="B18" s="17">
        <v>13</v>
      </c>
      <c r="C18" s="17" t="s">
        <v>54</v>
      </c>
      <c r="D18" s="16" t="s">
        <v>41</v>
      </c>
      <c r="E18" s="16"/>
      <c r="F18" s="16" t="s">
        <v>36</v>
      </c>
      <c r="G18" s="16">
        <v>91.04</v>
      </c>
      <c r="I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15.75" customHeight="1" x14ac:dyDescent="0.25">
      <c r="A19" s="18">
        <v>6413</v>
      </c>
      <c r="B19" s="17">
        <v>14</v>
      </c>
      <c r="C19" s="17" t="s">
        <v>70</v>
      </c>
      <c r="D19" s="16" t="s">
        <v>71</v>
      </c>
      <c r="E19" s="16"/>
      <c r="F19" s="16" t="s">
        <v>17</v>
      </c>
      <c r="G19" s="16">
        <v>90.54</v>
      </c>
      <c r="I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.75" customHeight="1" x14ac:dyDescent="0.25">
      <c r="A20" s="18">
        <v>5969</v>
      </c>
      <c r="B20" s="17">
        <v>15</v>
      </c>
      <c r="C20" s="17" t="s">
        <v>48</v>
      </c>
      <c r="D20" s="16" t="s">
        <v>49</v>
      </c>
      <c r="E20" s="16"/>
      <c r="F20" s="16" t="s">
        <v>34</v>
      </c>
      <c r="G20" s="16">
        <v>87.86</v>
      </c>
      <c r="I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.75" customHeight="1" x14ac:dyDescent="0.25">
      <c r="A21" s="18">
        <v>5992</v>
      </c>
      <c r="B21" s="17">
        <v>16</v>
      </c>
      <c r="C21" s="17" t="s">
        <v>77</v>
      </c>
      <c r="D21" s="16" t="s">
        <v>78</v>
      </c>
      <c r="E21" s="16"/>
      <c r="F21" s="16" t="s">
        <v>57</v>
      </c>
      <c r="G21" s="16">
        <v>78.64</v>
      </c>
      <c r="I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.75" customHeight="1" x14ac:dyDescent="0.25">
      <c r="A22" s="18">
        <v>5990</v>
      </c>
      <c r="B22" s="17">
        <v>17</v>
      </c>
      <c r="C22" s="17" t="s">
        <v>79</v>
      </c>
      <c r="D22" s="16" t="s">
        <v>81</v>
      </c>
      <c r="E22" s="16"/>
      <c r="F22" s="16" t="s">
        <v>42</v>
      </c>
      <c r="G22" s="16">
        <v>75.680000000000007</v>
      </c>
      <c r="I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.75" customHeight="1" x14ac:dyDescent="0.25">
      <c r="A23" s="18">
        <v>2000</v>
      </c>
      <c r="B23" s="17">
        <v>18</v>
      </c>
      <c r="C23" s="17" t="s">
        <v>22</v>
      </c>
      <c r="D23" s="16" t="s">
        <v>23</v>
      </c>
      <c r="E23" s="16"/>
      <c r="F23" s="16" t="s">
        <v>27</v>
      </c>
      <c r="G23" s="16">
        <v>71.38</v>
      </c>
      <c r="I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.75" customHeight="1" x14ac:dyDescent="0.25">
      <c r="A24" s="18">
        <v>5986</v>
      </c>
      <c r="B24" s="17">
        <v>19</v>
      </c>
      <c r="C24" s="17" t="s">
        <v>85</v>
      </c>
      <c r="D24" s="16" t="s">
        <v>56</v>
      </c>
      <c r="E24" s="16"/>
      <c r="F24" s="16" t="s">
        <v>34</v>
      </c>
      <c r="G24" s="16">
        <v>69.900000000000006</v>
      </c>
      <c r="I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 customHeight="1" x14ac:dyDescent="0.25">
      <c r="A25" s="18">
        <v>4229</v>
      </c>
      <c r="B25" s="17">
        <v>20</v>
      </c>
      <c r="C25" s="17" t="s">
        <v>64</v>
      </c>
      <c r="D25" s="16" t="s">
        <v>65</v>
      </c>
      <c r="E25" s="16"/>
      <c r="F25" s="16" t="s">
        <v>39</v>
      </c>
      <c r="G25" s="16">
        <v>69.58</v>
      </c>
      <c r="I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.75" customHeight="1" x14ac:dyDescent="0.25">
      <c r="A26" s="18">
        <v>5981</v>
      </c>
      <c r="B26" s="17">
        <v>21</v>
      </c>
      <c r="C26" s="17" t="s">
        <v>72</v>
      </c>
      <c r="D26" s="16" t="s">
        <v>73</v>
      </c>
      <c r="E26" s="16"/>
      <c r="F26" s="16" t="s">
        <v>57</v>
      </c>
      <c r="G26" s="16">
        <v>67.3</v>
      </c>
      <c r="I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.75" customHeight="1" x14ac:dyDescent="0.25">
      <c r="A27" s="18">
        <v>4319</v>
      </c>
      <c r="B27" s="17">
        <v>22</v>
      </c>
      <c r="C27" s="17" t="s">
        <v>91</v>
      </c>
      <c r="D27" s="16" t="s">
        <v>92</v>
      </c>
      <c r="E27" s="16"/>
      <c r="F27" s="16" t="s">
        <v>45</v>
      </c>
      <c r="G27" s="16">
        <v>66.040000000000006</v>
      </c>
      <c r="I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 customHeight="1" x14ac:dyDescent="0.25">
      <c r="A28" s="18">
        <v>1772</v>
      </c>
      <c r="B28" s="17">
        <v>23</v>
      </c>
      <c r="C28" s="17" t="s">
        <v>68</v>
      </c>
      <c r="D28" s="16" t="s">
        <v>69</v>
      </c>
      <c r="E28" s="16"/>
      <c r="F28" s="16" t="s">
        <v>28</v>
      </c>
      <c r="G28" s="16">
        <v>65.92</v>
      </c>
      <c r="I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.75" customHeight="1" x14ac:dyDescent="0.25">
      <c r="A29" s="18">
        <v>4136</v>
      </c>
      <c r="B29" s="17">
        <v>24</v>
      </c>
      <c r="C29" s="17" t="s">
        <v>58</v>
      </c>
      <c r="D29" s="16" t="s">
        <v>59</v>
      </c>
      <c r="E29" s="16"/>
      <c r="F29" s="16" t="s">
        <v>20</v>
      </c>
      <c r="G29" s="16">
        <v>64.7</v>
      </c>
      <c r="I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.75" customHeight="1" x14ac:dyDescent="0.25">
      <c r="A30" s="18">
        <v>1771</v>
      </c>
      <c r="B30" s="17">
        <v>25</v>
      </c>
      <c r="C30" s="17" t="s">
        <v>50</v>
      </c>
      <c r="D30" s="16" t="s">
        <v>51</v>
      </c>
      <c r="E30" s="16"/>
      <c r="F30" s="16" t="s">
        <v>28</v>
      </c>
      <c r="G30" s="16">
        <v>64.180000000000007</v>
      </c>
      <c r="I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.75" customHeight="1" x14ac:dyDescent="0.25">
      <c r="A31" s="18">
        <v>5978</v>
      </c>
      <c r="B31" s="17">
        <v>26</v>
      </c>
      <c r="C31" s="17" t="s">
        <v>29</v>
      </c>
      <c r="D31" s="16" t="s">
        <v>30</v>
      </c>
      <c r="E31" s="16"/>
      <c r="F31" s="16" t="s">
        <v>34</v>
      </c>
      <c r="G31" s="16">
        <v>52.33</v>
      </c>
      <c r="I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.75" customHeight="1" x14ac:dyDescent="0.25">
      <c r="A32" s="18">
        <v>4425</v>
      </c>
      <c r="B32" s="17">
        <v>27</v>
      </c>
      <c r="C32" s="17" t="s">
        <v>89</v>
      </c>
      <c r="D32" s="16" t="s">
        <v>90</v>
      </c>
      <c r="E32" s="16"/>
      <c r="F32" s="16" t="s">
        <v>45</v>
      </c>
      <c r="G32" s="16">
        <v>50.86</v>
      </c>
      <c r="I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5.75" customHeight="1" x14ac:dyDescent="0.25">
      <c r="A33" s="18">
        <v>2843</v>
      </c>
      <c r="B33" s="17">
        <v>28</v>
      </c>
      <c r="C33" s="17" t="s">
        <v>86</v>
      </c>
      <c r="D33" s="16" t="s">
        <v>87</v>
      </c>
      <c r="E33" s="16"/>
      <c r="F33" s="16" t="s">
        <v>21</v>
      </c>
      <c r="G33" s="16">
        <v>46.26</v>
      </c>
      <c r="I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75" customHeight="1" x14ac:dyDescent="0.25">
      <c r="A34" s="18">
        <v>6407</v>
      </c>
      <c r="B34" s="17">
        <v>29</v>
      </c>
      <c r="C34" s="17" t="s">
        <v>80</v>
      </c>
      <c r="D34" s="16" t="s">
        <v>82</v>
      </c>
      <c r="E34" s="16"/>
      <c r="F34" s="16" t="s">
        <v>83</v>
      </c>
      <c r="G34" s="16">
        <v>35.840000000000003</v>
      </c>
      <c r="I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.75" customHeight="1" x14ac:dyDescent="0.25">
      <c r="A35" s="18">
        <v>6437</v>
      </c>
      <c r="B35" s="17">
        <v>30</v>
      </c>
      <c r="C35" s="17" t="s">
        <v>109</v>
      </c>
      <c r="D35" s="16" t="s">
        <v>111</v>
      </c>
      <c r="E35" s="16"/>
      <c r="F35" s="16" t="s">
        <v>83</v>
      </c>
      <c r="G35" s="16">
        <v>13.9</v>
      </c>
      <c r="I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5.75" customHeight="1" x14ac:dyDescent="0.25">
      <c r="A36" s="18">
        <v>5995</v>
      </c>
      <c r="B36" s="17">
        <v>31</v>
      </c>
      <c r="C36" s="17" t="s">
        <v>40</v>
      </c>
      <c r="D36" s="16" t="s">
        <v>41</v>
      </c>
      <c r="E36" s="16"/>
      <c r="F36" s="16" t="s">
        <v>42</v>
      </c>
      <c r="G36" s="16">
        <v>1.94</v>
      </c>
      <c r="I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.75" customHeight="1" x14ac:dyDescent="0.25">
      <c r="A37" s="18">
        <v>5946</v>
      </c>
      <c r="B37" s="17">
        <v>32</v>
      </c>
      <c r="C37" s="17" t="s">
        <v>75</v>
      </c>
      <c r="D37" s="16" t="s">
        <v>76</v>
      </c>
      <c r="E37" s="16"/>
      <c r="F37" s="16" t="s">
        <v>57</v>
      </c>
      <c r="G37" s="16">
        <v>0</v>
      </c>
      <c r="I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5.75" customHeight="1" x14ac:dyDescent="0.25">
      <c r="A38" s="22"/>
      <c r="B38" s="23"/>
      <c r="C38" s="20"/>
      <c r="D38" s="24"/>
      <c r="E38" s="24"/>
      <c r="F38" s="24"/>
      <c r="G38" s="24"/>
      <c r="H38" s="25"/>
      <c r="I38" s="20"/>
      <c r="J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x14ac:dyDescent="0.25">
      <c r="A39" s="26"/>
      <c r="B39" s="27"/>
      <c r="D39" s="28"/>
      <c r="E39" s="28"/>
      <c r="F39" s="28"/>
      <c r="G39" s="28"/>
      <c r="H39" s="28"/>
    </row>
    <row r="40" spans="1:24" ht="27" customHeight="1" x14ac:dyDescent="0.35">
      <c r="A40" s="8" t="s">
        <v>67</v>
      </c>
      <c r="B40" s="7"/>
      <c r="H40" s="4"/>
    </row>
    <row r="41" spans="1:24" x14ac:dyDescent="0.25">
      <c r="A41" s="13" t="s">
        <v>3</v>
      </c>
      <c r="B41" s="13" t="s">
        <v>4</v>
      </c>
      <c r="C41" s="14" t="s">
        <v>5</v>
      </c>
      <c r="D41" s="14" t="s">
        <v>6</v>
      </c>
      <c r="E41" s="14"/>
      <c r="F41" s="14" t="s">
        <v>7</v>
      </c>
      <c r="G41" s="14" t="s">
        <v>8</v>
      </c>
      <c r="I41" s="15"/>
      <c r="J41" s="15"/>
      <c r="L41" s="30"/>
      <c r="M41" s="30"/>
      <c r="N41" s="30"/>
      <c r="O41" s="32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15.75" customHeight="1" x14ac:dyDescent="0.25">
      <c r="A42" s="34">
        <v>4307</v>
      </c>
      <c r="B42" s="17">
        <v>1</v>
      </c>
      <c r="C42" s="33" t="s">
        <v>126</v>
      </c>
      <c r="D42" s="33" t="s">
        <v>127</v>
      </c>
      <c r="E42" s="33"/>
      <c r="F42" s="33" t="s">
        <v>36</v>
      </c>
      <c r="G42" s="34">
        <v>125.32</v>
      </c>
      <c r="H42" s="25"/>
      <c r="L42" s="30"/>
      <c r="M42" s="30"/>
      <c r="N42" s="30"/>
      <c r="O42" s="32"/>
    </row>
    <row r="43" spans="1:24" ht="15.75" customHeight="1" x14ac:dyDescent="0.25">
      <c r="A43" s="34">
        <v>6361</v>
      </c>
      <c r="B43" s="17">
        <v>2</v>
      </c>
      <c r="C43" s="33" t="s">
        <v>128</v>
      </c>
      <c r="D43" s="33" t="s">
        <v>130</v>
      </c>
      <c r="E43" s="33"/>
      <c r="F43" s="33" t="s">
        <v>17</v>
      </c>
      <c r="G43" s="34">
        <v>97.86</v>
      </c>
      <c r="H43" s="20"/>
      <c r="I43" s="20"/>
      <c r="J43" s="20"/>
      <c r="L43" s="30"/>
      <c r="M43" s="30"/>
      <c r="N43" s="30"/>
      <c r="O43" s="32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5.75" customHeight="1" x14ac:dyDescent="0.25">
      <c r="A44" s="34">
        <v>4318</v>
      </c>
      <c r="B44" s="17">
        <v>3</v>
      </c>
      <c r="C44" s="33" t="s">
        <v>132</v>
      </c>
      <c r="D44" s="33" t="s">
        <v>133</v>
      </c>
      <c r="E44" s="33"/>
      <c r="F44" s="33" t="s">
        <v>39</v>
      </c>
      <c r="G44" s="34">
        <v>76.84</v>
      </c>
      <c r="H44" s="36"/>
      <c r="I44" s="20"/>
      <c r="J44" s="20"/>
      <c r="L44" s="30"/>
      <c r="M44" s="30"/>
      <c r="N44" s="30"/>
      <c r="O44" s="32"/>
      <c r="P44" s="20"/>
      <c r="Q44" s="20"/>
      <c r="R44" s="20"/>
      <c r="S44" s="20"/>
      <c r="T44" s="20"/>
      <c r="U44" s="20"/>
      <c r="V44" s="20"/>
      <c r="W44" s="20"/>
      <c r="X44" s="20"/>
    </row>
    <row r="45" spans="1:24" ht="15.75" customHeight="1" x14ac:dyDescent="0.25">
      <c r="A45" s="34">
        <v>6427</v>
      </c>
      <c r="B45" s="17">
        <v>4</v>
      </c>
      <c r="C45" s="33" t="s">
        <v>129</v>
      </c>
      <c r="D45" s="33" t="s">
        <v>131</v>
      </c>
      <c r="E45" s="33"/>
      <c r="F45" s="33" t="s">
        <v>83</v>
      </c>
      <c r="G45" s="34">
        <v>68.599999999999994</v>
      </c>
      <c r="H45" s="37"/>
      <c r="I45" s="20"/>
      <c r="J45" s="20"/>
      <c r="L45" s="30"/>
      <c r="M45" s="30"/>
      <c r="N45" s="30"/>
      <c r="O45" s="32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15.75" customHeight="1" x14ac:dyDescent="0.25">
      <c r="A46" s="34">
        <v>3502</v>
      </c>
      <c r="B46" s="17">
        <v>5</v>
      </c>
      <c r="C46" s="33" t="s">
        <v>134</v>
      </c>
      <c r="D46" s="33" t="s">
        <v>135</v>
      </c>
      <c r="E46" s="33"/>
      <c r="F46" s="33" t="s">
        <v>21</v>
      </c>
      <c r="G46" s="34">
        <v>0</v>
      </c>
      <c r="H46" s="38"/>
      <c r="I46" s="20"/>
      <c r="J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25">
      <c r="A47" s="22"/>
      <c r="B47" s="39"/>
      <c r="C47" s="20"/>
      <c r="D47" s="40"/>
      <c r="E47" s="40"/>
      <c r="F47" s="40"/>
      <c r="G47" s="40"/>
      <c r="H47" s="41"/>
      <c r="I47" s="20"/>
      <c r="J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27" customHeight="1" x14ac:dyDescent="0.35">
      <c r="A48" s="8" t="s">
        <v>74</v>
      </c>
      <c r="B48" s="7"/>
      <c r="H48" s="4"/>
    </row>
    <row r="49" spans="1:24" x14ac:dyDescent="0.25">
      <c r="A49" s="13" t="s">
        <v>3</v>
      </c>
      <c r="B49" s="13" t="s">
        <v>4</v>
      </c>
      <c r="C49" s="14" t="s">
        <v>5</v>
      </c>
      <c r="D49" s="14" t="s">
        <v>6</v>
      </c>
      <c r="E49" s="14" t="s">
        <v>10</v>
      </c>
      <c r="F49" s="14" t="s">
        <v>7</v>
      </c>
      <c r="G49" s="14" t="s">
        <v>8</v>
      </c>
      <c r="I49" s="15"/>
      <c r="J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ht="15.75" customHeight="1" x14ac:dyDescent="0.25">
      <c r="A50" s="16">
        <v>2011</v>
      </c>
      <c r="B50" s="17">
        <v>1</v>
      </c>
      <c r="C50" s="16" t="s">
        <v>136</v>
      </c>
      <c r="D50" s="16" t="s">
        <v>47</v>
      </c>
      <c r="E50" s="30" t="s">
        <v>24</v>
      </c>
      <c r="F50" s="30" t="s">
        <v>27</v>
      </c>
      <c r="G50" s="32">
        <v>87.74</v>
      </c>
      <c r="H50" s="42"/>
    </row>
    <row r="51" spans="1:24" ht="15.75" customHeight="1" x14ac:dyDescent="0.25">
      <c r="A51" s="16">
        <v>5939</v>
      </c>
      <c r="B51" s="17">
        <v>2</v>
      </c>
      <c r="C51" s="16" t="s">
        <v>137</v>
      </c>
      <c r="D51" s="16" t="s">
        <v>87</v>
      </c>
      <c r="E51" s="30" t="s">
        <v>32</v>
      </c>
      <c r="F51" s="30" t="s">
        <v>42</v>
      </c>
      <c r="G51" s="32">
        <v>76.02</v>
      </c>
      <c r="H51" s="42"/>
      <c r="I51" s="20"/>
      <c r="J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.75" customHeight="1" x14ac:dyDescent="0.25">
      <c r="A52" s="16">
        <v>4311</v>
      </c>
      <c r="B52" s="17">
        <v>3</v>
      </c>
      <c r="C52" s="16" t="s">
        <v>139</v>
      </c>
      <c r="D52" s="16" t="s">
        <v>90</v>
      </c>
      <c r="E52" s="30" t="s">
        <v>35</v>
      </c>
      <c r="F52" s="30" t="s">
        <v>39</v>
      </c>
      <c r="G52" s="32">
        <v>70.02</v>
      </c>
      <c r="H52" s="42"/>
      <c r="I52" s="20"/>
      <c r="J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5.75" customHeight="1" x14ac:dyDescent="0.25">
      <c r="A53" s="2"/>
      <c r="B53" s="26"/>
      <c r="C53" s="2"/>
      <c r="D53" s="2"/>
      <c r="E53" s="2"/>
      <c r="F53" s="2"/>
      <c r="G53" s="2"/>
      <c r="H53" s="42"/>
      <c r="I53" s="20"/>
      <c r="J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5.75" customHeight="1" x14ac:dyDescent="0.25">
      <c r="A54" s="22"/>
      <c r="B54" s="1"/>
      <c r="C54" s="20"/>
      <c r="H54" s="4"/>
      <c r="I54" s="20"/>
      <c r="J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ht="27" customHeight="1" x14ac:dyDescent="0.35">
      <c r="A55" s="8" t="s">
        <v>84</v>
      </c>
      <c r="B55" s="7"/>
      <c r="E55" s="10"/>
      <c r="F55" s="11"/>
      <c r="G55" s="11"/>
      <c r="H55" s="4"/>
    </row>
    <row r="56" spans="1:24" x14ac:dyDescent="0.25">
      <c r="A56" s="13" t="s">
        <v>3</v>
      </c>
      <c r="B56" s="13" t="s">
        <v>4</v>
      </c>
      <c r="C56" s="14" t="s">
        <v>5</v>
      </c>
      <c r="D56" s="14" t="s">
        <v>6</v>
      </c>
      <c r="E56" s="14" t="s">
        <v>10</v>
      </c>
      <c r="F56" s="14" t="s">
        <v>7</v>
      </c>
      <c r="G56" s="14" t="s">
        <v>8</v>
      </c>
      <c r="I56" s="15"/>
      <c r="J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ht="15.75" customHeight="1" x14ac:dyDescent="0.25">
      <c r="A57" s="34">
        <v>6309</v>
      </c>
      <c r="B57" s="17">
        <v>1</v>
      </c>
      <c r="C57" s="44" t="s">
        <v>140</v>
      </c>
      <c r="D57" s="31" t="s">
        <v>141</v>
      </c>
      <c r="E57" s="31" t="s">
        <v>66</v>
      </c>
      <c r="F57" s="31" t="s">
        <v>142</v>
      </c>
      <c r="G57" s="31">
        <v>111.7</v>
      </c>
      <c r="H57" s="43"/>
      <c r="M57" s="30"/>
      <c r="N57" s="30"/>
      <c r="O57" s="30"/>
      <c r="P57" s="32"/>
    </row>
    <row r="58" spans="1:24" ht="15.75" customHeight="1" x14ac:dyDescent="0.25">
      <c r="A58" s="34">
        <v>6312</v>
      </c>
      <c r="B58" s="17">
        <v>2</v>
      </c>
      <c r="C58" s="44" t="s">
        <v>148</v>
      </c>
      <c r="D58" s="31" t="s">
        <v>130</v>
      </c>
      <c r="E58" s="31" t="s">
        <v>66</v>
      </c>
      <c r="F58" s="31" t="s">
        <v>17</v>
      </c>
      <c r="G58" s="31">
        <v>101.58</v>
      </c>
      <c r="H58" s="43"/>
      <c r="I58" s="20"/>
      <c r="J58" s="20"/>
      <c r="M58" s="30"/>
      <c r="N58" s="30"/>
      <c r="O58" s="30"/>
      <c r="P58" s="32"/>
      <c r="Q58" s="20"/>
      <c r="R58" s="20"/>
      <c r="S58" s="20"/>
      <c r="T58" s="20"/>
      <c r="U58" s="20"/>
      <c r="V58" s="20"/>
      <c r="W58" s="20"/>
      <c r="X58" s="20"/>
    </row>
    <row r="59" spans="1:24" ht="15.75" customHeight="1" x14ac:dyDescent="0.25">
      <c r="A59" s="34">
        <v>4344</v>
      </c>
      <c r="B59" s="17">
        <v>3</v>
      </c>
      <c r="C59" s="44" t="s">
        <v>155</v>
      </c>
      <c r="D59" s="31" t="s">
        <v>156</v>
      </c>
      <c r="E59" s="31" t="s">
        <v>35</v>
      </c>
      <c r="F59" s="31" t="s">
        <v>36</v>
      </c>
      <c r="G59" s="31">
        <v>100.86</v>
      </c>
      <c r="H59" s="43"/>
      <c r="I59" s="4"/>
      <c r="J59" s="20"/>
      <c r="M59" s="30"/>
      <c r="N59" s="30"/>
      <c r="O59" s="30"/>
      <c r="P59" s="32"/>
      <c r="Q59" s="20"/>
      <c r="R59" s="20"/>
      <c r="S59" s="20"/>
      <c r="T59" s="20"/>
      <c r="U59" s="20"/>
      <c r="V59" s="20"/>
      <c r="W59" s="20"/>
      <c r="X59" s="20"/>
    </row>
    <row r="60" spans="1:24" ht="15.75" customHeight="1" x14ac:dyDescent="0.25">
      <c r="A60" s="34">
        <v>4101</v>
      </c>
      <c r="B60" s="17">
        <v>4</v>
      </c>
      <c r="C60" s="44" t="s">
        <v>140</v>
      </c>
      <c r="D60" s="31" t="s">
        <v>144</v>
      </c>
      <c r="E60" s="31" t="s">
        <v>19</v>
      </c>
      <c r="F60" s="31" t="s">
        <v>20</v>
      </c>
      <c r="G60" s="31">
        <v>89.8</v>
      </c>
      <c r="H60" s="43"/>
      <c r="I60" s="4"/>
      <c r="J60" s="20"/>
      <c r="M60" s="30"/>
      <c r="N60" s="30"/>
      <c r="O60" s="30"/>
      <c r="P60" s="32"/>
      <c r="Q60" s="20"/>
      <c r="R60" s="20"/>
      <c r="S60" s="20"/>
      <c r="T60" s="20"/>
      <c r="U60" s="20"/>
      <c r="V60" s="20"/>
      <c r="W60" s="20"/>
      <c r="X60" s="20"/>
    </row>
    <row r="61" spans="1:24" ht="15.75" customHeight="1" x14ac:dyDescent="0.25">
      <c r="A61" s="34">
        <v>4355</v>
      </c>
      <c r="B61" s="17">
        <v>5</v>
      </c>
      <c r="C61" s="44" t="s">
        <v>157</v>
      </c>
      <c r="D61" s="31" t="s">
        <v>158</v>
      </c>
      <c r="E61" s="31" t="s">
        <v>35</v>
      </c>
      <c r="F61" s="31" t="s">
        <v>45</v>
      </c>
      <c r="G61" s="31">
        <v>70.2</v>
      </c>
      <c r="H61" s="43"/>
      <c r="I61" s="4"/>
      <c r="J61" s="20"/>
      <c r="M61" s="30"/>
      <c r="N61" s="30"/>
      <c r="O61" s="30"/>
      <c r="P61" s="32"/>
      <c r="Q61" s="20"/>
      <c r="R61" s="20"/>
      <c r="S61" s="20"/>
      <c r="T61" s="20"/>
      <c r="U61" s="20"/>
      <c r="V61" s="20"/>
      <c r="W61" s="20"/>
      <c r="X61" s="20"/>
    </row>
    <row r="62" spans="1:24" ht="15.75" customHeight="1" x14ac:dyDescent="0.25">
      <c r="A62" s="34">
        <v>6426</v>
      </c>
      <c r="B62" s="17">
        <v>6</v>
      </c>
      <c r="C62" s="44" t="s">
        <v>150</v>
      </c>
      <c r="D62" s="31" t="s">
        <v>153</v>
      </c>
      <c r="E62" s="31" t="s">
        <v>66</v>
      </c>
      <c r="F62" s="31" t="s">
        <v>83</v>
      </c>
      <c r="G62" s="31">
        <v>69.739999999999995</v>
      </c>
      <c r="H62" s="43"/>
      <c r="I62" s="4"/>
      <c r="J62" s="20"/>
      <c r="M62" s="30"/>
      <c r="N62" s="30"/>
      <c r="O62" s="30"/>
      <c r="P62" s="32"/>
      <c r="Q62" s="20"/>
      <c r="R62" s="20"/>
      <c r="S62" s="20"/>
      <c r="T62" s="20"/>
      <c r="U62" s="20"/>
      <c r="V62" s="20"/>
      <c r="W62" s="20"/>
      <c r="X62" s="20"/>
    </row>
    <row r="63" spans="1:24" ht="15.75" customHeight="1" x14ac:dyDescent="0.25">
      <c r="A63" s="34">
        <v>2028</v>
      </c>
      <c r="B63" s="17">
        <v>7</v>
      </c>
      <c r="C63" s="44" t="s">
        <v>161</v>
      </c>
      <c r="D63" s="31" t="s">
        <v>162</v>
      </c>
      <c r="E63" s="31" t="s">
        <v>66</v>
      </c>
      <c r="F63" s="31" t="s">
        <v>142</v>
      </c>
      <c r="G63" s="31">
        <v>69.5</v>
      </c>
      <c r="H63" s="43"/>
      <c r="I63" s="4"/>
      <c r="J63" s="20"/>
      <c r="M63" s="30"/>
      <c r="N63" s="30"/>
      <c r="O63" s="30"/>
      <c r="P63" s="32"/>
      <c r="Q63" s="20"/>
      <c r="R63" s="20"/>
      <c r="S63" s="20"/>
      <c r="T63" s="20"/>
      <c r="U63" s="20"/>
      <c r="V63" s="20"/>
      <c r="W63" s="20"/>
      <c r="X63" s="20"/>
    </row>
    <row r="64" spans="1:24" ht="15.75" customHeight="1" x14ac:dyDescent="0.25">
      <c r="A64" s="34">
        <v>6302</v>
      </c>
      <c r="B64" s="17">
        <v>8</v>
      </c>
      <c r="C64" s="44" t="s">
        <v>163</v>
      </c>
      <c r="D64" s="31" t="s">
        <v>164</v>
      </c>
      <c r="E64" s="31" t="s">
        <v>66</v>
      </c>
      <c r="F64" s="31" t="s">
        <v>142</v>
      </c>
      <c r="G64" s="31">
        <v>62.18</v>
      </c>
      <c r="H64" s="43"/>
      <c r="I64" s="4"/>
      <c r="J64" s="20"/>
      <c r="M64" s="30"/>
      <c r="N64" s="30"/>
      <c r="O64" s="30"/>
      <c r="P64" s="32"/>
      <c r="Q64" s="20"/>
      <c r="R64" s="20"/>
      <c r="S64" s="20"/>
      <c r="T64" s="20"/>
      <c r="U64" s="20"/>
      <c r="V64" s="20"/>
      <c r="W64" s="20"/>
      <c r="X64" s="20"/>
    </row>
    <row r="65" spans="1:24" ht="15.75" customHeight="1" x14ac:dyDescent="0.25">
      <c r="A65" s="34">
        <v>5993</v>
      </c>
      <c r="B65" s="17">
        <v>9</v>
      </c>
      <c r="C65" s="44" t="s">
        <v>165</v>
      </c>
      <c r="D65" s="31" t="s">
        <v>166</v>
      </c>
      <c r="E65" s="31" t="s">
        <v>32</v>
      </c>
      <c r="F65" s="31" t="s">
        <v>42</v>
      </c>
      <c r="G65" s="31">
        <v>59.4</v>
      </c>
      <c r="H65" s="43"/>
      <c r="I65" s="4"/>
      <c r="J65" s="20"/>
      <c r="M65" s="30"/>
      <c r="N65" s="30"/>
      <c r="O65" s="30"/>
      <c r="P65" s="32"/>
      <c r="Q65" s="20"/>
      <c r="R65" s="20"/>
      <c r="S65" s="20"/>
      <c r="T65" s="20"/>
      <c r="U65" s="20"/>
      <c r="V65" s="20"/>
      <c r="W65" s="20"/>
      <c r="X65" s="20"/>
    </row>
    <row r="66" spans="1:24" ht="15.75" customHeight="1" x14ac:dyDescent="0.25">
      <c r="A66" s="34">
        <v>6387</v>
      </c>
      <c r="B66" s="17">
        <v>10</v>
      </c>
      <c r="C66" s="44" t="s">
        <v>147</v>
      </c>
      <c r="D66" s="31" t="s">
        <v>149</v>
      </c>
      <c r="E66" s="31" t="s">
        <v>66</v>
      </c>
      <c r="F66" s="31" t="s">
        <v>142</v>
      </c>
      <c r="G66" s="31">
        <v>57.72</v>
      </c>
      <c r="H66" s="43"/>
      <c r="I66" s="4"/>
      <c r="J66" s="20"/>
      <c r="M66" s="30"/>
      <c r="N66" s="30"/>
      <c r="O66" s="30"/>
      <c r="P66" s="32"/>
      <c r="Q66" s="20"/>
      <c r="R66" s="20"/>
      <c r="S66" s="20"/>
      <c r="T66" s="20"/>
      <c r="U66" s="20"/>
      <c r="V66" s="20"/>
      <c r="W66" s="20"/>
      <c r="X66" s="20"/>
    </row>
    <row r="67" spans="1:24" ht="15.75" customHeight="1" x14ac:dyDescent="0.25">
      <c r="A67" s="34">
        <v>2008</v>
      </c>
      <c r="B67" s="17">
        <v>11</v>
      </c>
      <c r="C67" s="44" t="s">
        <v>159</v>
      </c>
      <c r="D67" s="31" t="s">
        <v>160</v>
      </c>
      <c r="E67" s="31" t="s">
        <v>24</v>
      </c>
      <c r="F67" s="31" t="s">
        <v>27</v>
      </c>
      <c r="G67" s="31">
        <v>46.7</v>
      </c>
      <c r="H67" s="43"/>
      <c r="I67" s="4"/>
      <c r="J67" s="20"/>
      <c r="M67" s="30"/>
      <c r="N67" s="30"/>
      <c r="O67" s="30"/>
      <c r="P67" s="32"/>
      <c r="Q67" s="20"/>
      <c r="R67" s="20"/>
      <c r="S67" s="20"/>
      <c r="T67" s="20"/>
      <c r="U67" s="20"/>
      <c r="V67" s="20"/>
      <c r="W67" s="20"/>
      <c r="X67" s="20"/>
    </row>
    <row r="68" spans="1:24" ht="15.75" customHeight="1" x14ac:dyDescent="0.25">
      <c r="A68" s="34">
        <v>6316</v>
      </c>
      <c r="B68" s="17">
        <v>12</v>
      </c>
      <c r="C68" s="44" t="s">
        <v>151</v>
      </c>
      <c r="D68" s="31" t="s">
        <v>152</v>
      </c>
      <c r="E68" s="31" t="s">
        <v>66</v>
      </c>
      <c r="F68" s="31" t="s">
        <v>154</v>
      </c>
      <c r="G68" s="31">
        <v>7.68</v>
      </c>
      <c r="H68" s="43"/>
      <c r="I68" s="4"/>
      <c r="J68" s="20"/>
      <c r="M68" s="30"/>
      <c r="N68" s="30"/>
      <c r="O68" s="30"/>
      <c r="P68" s="32"/>
      <c r="Q68" s="20"/>
      <c r="R68" s="20"/>
      <c r="S68" s="20"/>
      <c r="T68" s="20"/>
      <c r="U68" s="20"/>
      <c r="V68" s="20"/>
      <c r="W68" s="20"/>
      <c r="X68" s="20"/>
    </row>
    <row r="69" spans="1:24" ht="15.75" customHeight="1" x14ac:dyDescent="0.25">
      <c r="A69" s="34">
        <v>5521</v>
      </c>
      <c r="B69" s="17">
        <v>13</v>
      </c>
      <c r="C69" s="45" t="s">
        <v>143</v>
      </c>
      <c r="D69" s="46" t="s">
        <v>145</v>
      </c>
      <c r="E69" s="46" t="s">
        <v>146</v>
      </c>
      <c r="F69" s="46" t="s">
        <v>21</v>
      </c>
      <c r="G69" s="45">
        <v>0</v>
      </c>
      <c r="H69" s="10"/>
      <c r="I69" s="4"/>
      <c r="J69" s="20"/>
      <c r="M69" s="30"/>
      <c r="N69" s="30"/>
      <c r="O69" s="30"/>
      <c r="P69" s="32"/>
      <c r="Q69" s="20"/>
      <c r="R69" s="20"/>
      <c r="S69" s="20"/>
      <c r="T69" s="20"/>
      <c r="U69" s="20"/>
      <c r="V69" s="20"/>
      <c r="W69" s="20"/>
      <c r="X69" s="20"/>
    </row>
    <row r="70" spans="1:24" ht="15.75" customHeight="1" x14ac:dyDescent="0.25">
      <c r="A70" s="26"/>
      <c r="B70" s="26"/>
    </row>
    <row r="71" spans="1:24" ht="27" customHeight="1" x14ac:dyDescent="0.35">
      <c r="A71" s="7"/>
      <c r="B71" s="8" t="s">
        <v>7</v>
      </c>
      <c r="C71" s="9"/>
      <c r="E71" s="10"/>
      <c r="F71" s="11"/>
      <c r="G71" s="11"/>
      <c r="H71" s="4"/>
    </row>
    <row r="72" spans="1:24" ht="15.75" customHeight="1" x14ac:dyDescent="0.25">
      <c r="A72" s="13" t="s">
        <v>167</v>
      </c>
      <c r="B72" s="13" t="s">
        <v>3</v>
      </c>
      <c r="C72" s="14" t="s">
        <v>5</v>
      </c>
      <c r="D72" s="14" t="s">
        <v>6</v>
      </c>
      <c r="E72" s="14"/>
      <c r="F72" s="14" t="s">
        <v>7</v>
      </c>
      <c r="G72" s="14" t="s">
        <v>168</v>
      </c>
      <c r="I72" s="15"/>
      <c r="J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ht="15.75" customHeight="1" x14ac:dyDescent="0.25">
      <c r="A73" s="16"/>
      <c r="B73" s="34">
        <v>4101</v>
      </c>
      <c r="C73" s="33" t="s">
        <v>140</v>
      </c>
      <c r="D73" s="33" t="s">
        <v>144</v>
      </c>
      <c r="E73" s="33"/>
      <c r="F73" s="33" t="s">
        <v>20</v>
      </c>
      <c r="G73" s="35">
        <v>89.8</v>
      </c>
      <c r="H73" s="25"/>
    </row>
    <row r="74" spans="1:24" ht="15.75" customHeight="1" x14ac:dyDescent="0.25">
      <c r="A74" s="47"/>
      <c r="B74" s="34">
        <v>4118</v>
      </c>
      <c r="C74" s="33" t="s">
        <v>62</v>
      </c>
      <c r="D74" s="33" t="s">
        <v>63</v>
      </c>
      <c r="E74" s="33"/>
      <c r="F74" s="33" t="s">
        <v>20</v>
      </c>
      <c r="G74" s="35">
        <v>95.9</v>
      </c>
      <c r="H74" s="25"/>
    </row>
    <row r="75" spans="1:24" ht="15.75" customHeight="1" x14ac:dyDescent="0.25">
      <c r="A75" s="47"/>
      <c r="B75" s="34">
        <v>4136</v>
      </c>
      <c r="C75" s="33" t="s">
        <v>58</v>
      </c>
      <c r="D75" s="33" t="s">
        <v>59</v>
      </c>
      <c r="E75" s="33"/>
      <c r="F75" s="33" t="s">
        <v>20</v>
      </c>
      <c r="G75" s="35">
        <v>64.7</v>
      </c>
      <c r="H75" s="25"/>
    </row>
    <row r="76" spans="1:24" ht="16.5" customHeight="1" x14ac:dyDescent="0.25">
      <c r="A76" s="47"/>
      <c r="B76" s="34">
        <v>4164</v>
      </c>
      <c r="C76" s="33" t="s">
        <v>13</v>
      </c>
      <c r="D76" s="33" t="s">
        <v>16</v>
      </c>
      <c r="E76" s="33"/>
      <c r="F76" s="33" t="s">
        <v>20</v>
      </c>
      <c r="G76" s="35">
        <v>141.31</v>
      </c>
      <c r="H76" s="25"/>
    </row>
    <row r="77" spans="1:24" ht="16.5" customHeight="1" x14ac:dyDescent="0.25">
      <c r="A77" s="47">
        <v>1</v>
      </c>
      <c r="B77" s="16"/>
      <c r="C77" s="16"/>
      <c r="D77" s="16"/>
      <c r="E77" s="49"/>
      <c r="F77" s="49" t="s">
        <v>169</v>
      </c>
      <c r="G77" s="50">
        <f>SUM(G73:G76)</f>
        <v>391.71</v>
      </c>
      <c r="H77" s="51"/>
    </row>
    <row r="78" spans="1:24" ht="15.75" customHeight="1" x14ac:dyDescent="0.25">
      <c r="A78" s="17"/>
      <c r="B78" s="34">
        <v>5969</v>
      </c>
      <c r="C78" s="33" t="s">
        <v>48</v>
      </c>
      <c r="D78" s="33" t="s">
        <v>49</v>
      </c>
      <c r="E78" s="33"/>
      <c r="F78" s="33" t="s">
        <v>34</v>
      </c>
      <c r="G78" s="35">
        <v>87.86</v>
      </c>
    </row>
    <row r="79" spans="1:24" ht="15.75" customHeight="1" x14ac:dyDescent="0.25">
      <c r="A79" s="16"/>
      <c r="B79" s="34">
        <v>5978</v>
      </c>
      <c r="C79" s="33" t="s">
        <v>29</v>
      </c>
      <c r="D79" s="33" t="s">
        <v>30</v>
      </c>
      <c r="E79" s="33"/>
      <c r="F79" s="33" t="s">
        <v>34</v>
      </c>
      <c r="G79" s="35">
        <v>52.33</v>
      </c>
    </row>
    <row r="80" spans="1:24" ht="15.75" customHeight="1" x14ac:dyDescent="0.25">
      <c r="A80" s="16"/>
      <c r="B80" s="34">
        <v>5986</v>
      </c>
      <c r="C80" s="33" t="s">
        <v>85</v>
      </c>
      <c r="D80" s="33" t="s">
        <v>56</v>
      </c>
      <c r="E80" s="33"/>
      <c r="F80" s="33" t="s">
        <v>34</v>
      </c>
      <c r="G80" s="35">
        <v>69.900000000000006</v>
      </c>
    </row>
    <row r="81" spans="1:7" ht="15.75" customHeight="1" x14ac:dyDescent="0.25">
      <c r="A81" s="16"/>
      <c r="B81" s="34">
        <v>5987</v>
      </c>
      <c r="C81" s="33" t="s">
        <v>60</v>
      </c>
      <c r="D81" s="33" t="s">
        <v>61</v>
      </c>
      <c r="E81" s="33"/>
      <c r="F81" s="33" t="s">
        <v>34</v>
      </c>
      <c r="G81" s="35">
        <v>95.54</v>
      </c>
    </row>
    <row r="82" spans="1:7" ht="15.75" customHeight="1" x14ac:dyDescent="0.25">
      <c r="A82" s="47">
        <v>2</v>
      </c>
      <c r="B82" s="16"/>
      <c r="C82" s="33"/>
      <c r="D82" s="33"/>
      <c r="E82" s="48"/>
      <c r="F82" s="48" t="s">
        <v>169</v>
      </c>
      <c r="G82" s="50">
        <f>SUM(G78:G81)</f>
        <v>305.63</v>
      </c>
    </row>
    <row r="83" spans="1:7" ht="15.75" customHeight="1" x14ac:dyDescent="0.25">
      <c r="A83" s="16"/>
      <c r="B83" s="34">
        <v>2000</v>
      </c>
      <c r="C83" s="33" t="s">
        <v>22</v>
      </c>
      <c r="D83" s="33" t="s">
        <v>23</v>
      </c>
      <c r="E83" s="33"/>
      <c r="F83" s="33" t="s">
        <v>27</v>
      </c>
      <c r="G83" s="35">
        <v>71.38</v>
      </c>
    </row>
    <row r="84" spans="1:7" ht="15.75" customHeight="1" x14ac:dyDescent="0.25">
      <c r="A84" s="16"/>
      <c r="B84" s="34">
        <v>2001</v>
      </c>
      <c r="C84" s="33" t="s">
        <v>46</v>
      </c>
      <c r="D84" s="33" t="s">
        <v>47</v>
      </c>
      <c r="E84" s="33"/>
      <c r="F84" s="33" t="s">
        <v>27</v>
      </c>
      <c r="G84" s="35">
        <v>101.46</v>
      </c>
    </row>
    <row r="85" spans="1:7" ht="15.75" customHeight="1" x14ac:dyDescent="0.25">
      <c r="A85" s="16"/>
      <c r="B85" s="34">
        <v>2008</v>
      </c>
      <c r="C85" s="33" t="s">
        <v>159</v>
      </c>
      <c r="D85" s="33" t="s">
        <v>160</v>
      </c>
      <c r="E85" s="33"/>
      <c r="F85" s="33" t="s">
        <v>27</v>
      </c>
      <c r="G85" s="35">
        <v>46.7</v>
      </c>
    </row>
    <row r="86" spans="1:7" ht="15.75" customHeight="1" x14ac:dyDescent="0.25">
      <c r="A86" s="16"/>
      <c r="B86" s="34">
        <v>2011</v>
      </c>
      <c r="C86" s="33" t="s">
        <v>136</v>
      </c>
      <c r="D86" s="33" t="s">
        <v>47</v>
      </c>
      <c r="E86" s="33"/>
      <c r="F86" s="33" t="s">
        <v>27</v>
      </c>
      <c r="G86" s="35">
        <v>87.74</v>
      </c>
    </row>
    <row r="87" spans="1:7" ht="15.75" customHeight="1" x14ac:dyDescent="0.25">
      <c r="A87" s="47">
        <v>3</v>
      </c>
      <c r="B87" s="16"/>
      <c r="C87" s="33"/>
      <c r="D87" s="33"/>
      <c r="E87" s="49"/>
      <c r="F87" s="49" t="s">
        <v>169</v>
      </c>
      <c r="G87" s="50">
        <f>SUM(G83:G86)</f>
        <v>307.27999999999997</v>
      </c>
    </row>
    <row r="88" spans="1:7" ht="15.75" customHeight="1" x14ac:dyDescent="0.25">
      <c r="A88" s="16"/>
      <c r="B88" s="34">
        <v>6312</v>
      </c>
      <c r="C88" s="33" t="s">
        <v>148</v>
      </c>
      <c r="D88" s="33" t="s">
        <v>130</v>
      </c>
      <c r="E88" s="33"/>
      <c r="F88" s="33" t="s">
        <v>17</v>
      </c>
      <c r="G88" s="35">
        <v>101.58</v>
      </c>
    </row>
    <row r="89" spans="1:7" ht="15.75" customHeight="1" x14ac:dyDescent="0.25">
      <c r="A89" s="16"/>
      <c r="B89" s="34">
        <v>6324</v>
      </c>
      <c r="C89" s="33" t="s">
        <v>11</v>
      </c>
      <c r="D89" s="33" t="s">
        <v>12</v>
      </c>
      <c r="E89" s="33"/>
      <c r="F89" s="33" t="s">
        <v>17</v>
      </c>
      <c r="G89" s="35">
        <v>166.98</v>
      </c>
    </row>
    <row r="90" spans="1:7" ht="15.75" customHeight="1" x14ac:dyDescent="0.25">
      <c r="A90" s="16"/>
      <c r="B90" s="34">
        <v>6361</v>
      </c>
      <c r="C90" s="33" t="s">
        <v>128</v>
      </c>
      <c r="D90" s="33" t="s">
        <v>130</v>
      </c>
      <c r="E90" s="33"/>
      <c r="F90" s="33" t="s">
        <v>17</v>
      </c>
      <c r="G90" s="35">
        <v>97.86</v>
      </c>
    </row>
    <row r="91" spans="1:7" ht="15.75" customHeight="1" x14ac:dyDescent="0.25">
      <c r="A91" s="16"/>
      <c r="B91" s="34">
        <v>6413</v>
      </c>
      <c r="C91" s="33" t="s">
        <v>70</v>
      </c>
      <c r="D91" s="33" t="s">
        <v>71</v>
      </c>
      <c r="E91" s="33"/>
      <c r="F91" s="33" t="s">
        <v>17</v>
      </c>
      <c r="G91" s="35">
        <v>90.54</v>
      </c>
    </row>
    <row r="92" spans="1:7" ht="15.75" customHeight="1" x14ac:dyDescent="0.25">
      <c r="A92" s="52">
        <v>4</v>
      </c>
      <c r="B92" s="16"/>
      <c r="C92" s="33"/>
      <c r="D92" s="33"/>
      <c r="E92" s="48"/>
      <c r="F92" s="48" t="s">
        <v>169</v>
      </c>
      <c r="G92" s="50">
        <f>SUM(G88:G91)</f>
        <v>456.96000000000004</v>
      </c>
    </row>
    <row r="93" spans="1:7" ht="15.75" customHeight="1" x14ac:dyDescent="0.25">
      <c r="A93" s="16"/>
      <c r="B93" s="34">
        <v>4307</v>
      </c>
      <c r="C93" s="33" t="s">
        <v>126</v>
      </c>
      <c r="D93" s="33" t="s">
        <v>127</v>
      </c>
      <c r="E93" s="33"/>
      <c r="F93" s="33" t="s">
        <v>36</v>
      </c>
      <c r="G93" s="35">
        <v>125.32</v>
      </c>
    </row>
    <row r="94" spans="1:7" ht="15.75" customHeight="1" x14ac:dyDescent="0.25">
      <c r="A94" s="16"/>
      <c r="B94" s="34">
        <v>4316</v>
      </c>
      <c r="C94" s="33" t="s">
        <v>54</v>
      </c>
      <c r="D94" s="33" t="s">
        <v>41</v>
      </c>
      <c r="E94" s="33"/>
      <c r="F94" s="33" t="s">
        <v>36</v>
      </c>
      <c r="G94" s="35">
        <v>91.04</v>
      </c>
    </row>
    <row r="95" spans="1:7" ht="15.75" customHeight="1" x14ac:dyDescent="0.25">
      <c r="A95" s="16"/>
      <c r="B95" s="34">
        <v>4337</v>
      </c>
      <c r="C95" s="33" t="s">
        <v>31</v>
      </c>
      <c r="D95" s="33" t="s">
        <v>33</v>
      </c>
      <c r="E95" s="33"/>
      <c r="F95" s="33" t="s">
        <v>36</v>
      </c>
      <c r="G95" s="35">
        <v>107.36</v>
      </c>
    </row>
    <row r="96" spans="1:7" ht="15.75" customHeight="1" x14ac:dyDescent="0.25">
      <c r="A96" s="16"/>
      <c r="B96" s="34">
        <v>4344</v>
      </c>
      <c r="C96" s="33" t="s">
        <v>155</v>
      </c>
      <c r="D96" s="33" t="s">
        <v>156</v>
      </c>
      <c r="E96" s="33"/>
      <c r="F96" s="33" t="s">
        <v>36</v>
      </c>
      <c r="G96" s="35">
        <v>100.86</v>
      </c>
    </row>
    <row r="97" spans="1:7" ht="15.75" customHeight="1" x14ac:dyDescent="0.25">
      <c r="A97" s="47">
        <v>5</v>
      </c>
      <c r="B97" s="16"/>
      <c r="C97" s="33"/>
      <c r="D97" s="33"/>
      <c r="E97" s="48"/>
      <c r="F97" s="48" t="s">
        <v>169</v>
      </c>
      <c r="G97" s="50">
        <f>SUM(G93:G96)</f>
        <v>424.58000000000004</v>
      </c>
    </row>
    <row r="98" spans="1:7" ht="15.75" customHeight="1" x14ac:dyDescent="0.25">
      <c r="A98" s="16"/>
      <c r="B98" s="34">
        <v>2028</v>
      </c>
      <c r="C98" s="33" t="s">
        <v>161</v>
      </c>
      <c r="D98" s="33" t="s">
        <v>162</v>
      </c>
      <c r="E98" s="33"/>
      <c r="F98" s="33" t="s">
        <v>142</v>
      </c>
      <c r="G98" s="35">
        <v>69.5</v>
      </c>
    </row>
    <row r="99" spans="1:7" ht="15.75" customHeight="1" x14ac:dyDescent="0.25">
      <c r="A99" s="16"/>
      <c r="B99" s="34">
        <v>6302</v>
      </c>
      <c r="C99" s="33" t="s">
        <v>163</v>
      </c>
      <c r="D99" s="33" t="s">
        <v>164</v>
      </c>
      <c r="E99" s="33"/>
      <c r="F99" s="33" t="s">
        <v>142</v>
      </c>
      <c r="G99" s="35">
        <v>62.18</v>
      </c>
    </row>
    <row r="100" spans="1:7" ht="15.75" customHeight="1" x14ac:dyDescent="0.25">
      <c r="A100" s="16"/>
      <c r="B100" s="34">
        <v>6309</v>
      </c>
      <c r="C100" s="33" t="s">
        <v>140</v>
      </c>
      <c r="D100" s="33" t="s">
        <v>141</v>
      </c>
      <c r="E100" s="33"/>
      <c r="F100" s="33" t="s">
        <v>142</v>
      </c>
      <c r="G100" s="35">
        <v>111.7</v>
      </c>
    </row>
    <row r="101" spans="1:7" ht="15.75" customHeight="1" x14ac:dyDescent="0.25">
      <c r="A101" s="16"/>
      <c r="B101" s="34">
        <v>6387</v>
      </c>
      <c r="C101" s="33" t="s">
        <v>147</v>
      </c>
      <c r="D101" s="33" t="s">
        <v>149</v>
      </c>
      <c r="E101" s="33"/>
      <c r="F101" s="33" t="s">
        <v>142</v>
      </c>
      <c r="G101" s="35">
        <v>57.72</v>
      </c>
    </row>
    <row r="102" spans="1:7" ht="15.75" customHeight="1" x14ac:dyDescent="0.25">
      <c r="A102" s="47">
        <v>6</v>
      </c>
      <c r="B102" s="16"/>
      <c r="C102" s="33"/>
      <c r="D102" s="33"/>
      <c r="E102" s="48"/>
      <c r="F102" s="48" t="s">
        <v>169</v>
      </c>
      <c r="G102" s="50">
        <f>SUM(G98:G101)</f>
        <v>301.10000000000002</v>
      </c>
    </row>
    <row r="103" spans="1:7" ht="15.75" customHeight="1" x14ac:dyDescent="0.25">
      <c r="A103" s="16"/>
      <c r="B103" s="34">
        <v>4318</v>
      </c>
      <c r="C103" s="33" t="s">
        <v>132</v>
      </c>
      <c r="D103" s="33" t="s">
        <v>133</v>
      </c>
      <c r="E103" s="33"/>
      <c r="F103" s="33" t="s">
        <v>39</v>
      </c>
      <c r="G103" s="35">
        <v>76.84</v>
      </c>
    </row>
    <row r="104" spans="1:7" ht="15.75" customHeight="1" x14ac:dyDescent="0.25">
      <c r="A104" s="16"/>
      <c r="B104" s="34">
        <v>4152</v>
      </c>
      <c r="C104" s="33" t="s">
        <v>37</v>
      </c>
      <c r="D104" s="33" t="s">
        <v>38</v>
      </c>
      <c r="E104" s="33"/>
      <c r="F104" s="33" t="s">
        <v>39</v>
      </c>
      <c r="G104" s="35">
        <v>96.28</v>
      </c>
    </row>
    <row r="105" spans="1:7" ht="15.75" customHeight="1" x14ac:dyDescent="0.25">
      <c r="A105" s="16"/>
      <c r="B105" s="34">
        <v>4229</v>
      </c>
      <c r="C105" s="33" t="s">
        <v>64</v>
      </c>
      <c r="D105" s="33" t="s">
        <v>65</v>
      </c>
      <c r="E105" s="33"/>
      <c r="F105" s="33" t="s">
        <v>39</v>
      </c>
      <c r="G105" s="35">
        <v>69.58</v>
      </c>
    </row>
    <row r="106" spans="1:7" ht="15.75" customHeight="1" x14ac:dyDescent="0.25">
      <c r="A106" s="16"/>
      <c r="B106" s="34">
        <v>4311</v>
      </c>
      <c r="C106" s="33" t="s">
        <v>139</v>
      </c>
      <c r="D106" s="33" t="s">
        <v>90</v>
      </c>
      <c r="E106" s="33"/>
      <c r="F106" s="33" t="s">
        <v>39</v>
      </c>
      <c r="G106" s="35">
        <v>70.02</v>
      </c>
    </row>
    <row r="107" spans="1:7" ht="15.75" customHeight="1" x14ac:dyDescent="0.25">
      <c r="A107" s="47">
        <v>7</v>
      </c>
      <c r="B107" s="16"/>
      <c r="C107" s="33"/>
      <c r="D107" s="33"/>
      <c r="E107" s="48"/>
      <c r="F107" s="48" t="s">
        <v>169</v>
      </c>
      <c r="G107" s="50">
        <f>SUM(G103:G106)</f>
        <v>312.71999999999997</v>
      </c>
    </row>
    <row r="108" spans="1:7" ht="15.75" customHeight="1" x14ac:dyDescent="0.25">
      <c r="A108" s="16"/>
      <c r="B108" s="34">
        <v>6407</v>
      </c>
      <c r="C108" s="33" t="s">
        <v>80</v>
      </c>
      <c r="D108" s="33" t="s">
        <v>82</v>
      </c>
      <c r="E108" s="33"/>
      <c r="F108" s="33" t="s">
        <v>83</v>
      </c>
      <c r="G108" s="35">
        <v>35.840000000000003</v>
      </c>
    </row>
    <row r="109" spans="1:7" ht="15.75" customHeight="1" x14ac:dyDescent="0.25">
      <c r="A109" s="16"/>
      <c r="B109" s="34">
        <v>6426</v>
      </c>
      <c r="C109" s="33" t="s">
        <v>150</v>
      </c>
      <c r="D109" s="33" t="s">
        <v>153</v>
      </c>
      <c r="E109" s="33"/>
      <c r="F109" s="33" t="s">
        <v>83</v>
      </c>
      <c r="G109" s="35">
        <v>69.739999999999995</v>
      </c>
    </row>
    <row r="110" spans="1:7" ht="15.75" customHeight="1" x14ac:dyDescent="0.25">
      <c r="A110" s="16"/>
      <c r="B110" s="34">
        <v>6427</v>
      </c>
      <c r="C110" s="33" t="s">
        <v>129</v>
      </c>
      <c r="D110" s="33" t="s">
        <v>131</v>
      </c>
      <c r="E110" s="33"/>
      <c r="F110" s="33" t="s">
        <v>83</v>
      </c>
      <c r="G110" s="35">
        <v>68.599999999999994</v>
      </c>
    </row>
    <row r="111" spans="1:7" ht="15.75" customHeight="1" x14ac:dyDescent="0.25">
      <c r="A111" s="16"/>
      <c r="B111" s="34">
        <v>6437</v>
      </c>
      <c r="C111" s="33" t="s">
        <v>109</v>
      </c>
      <c r="D111" s="33" t="s">
        <v>111</v>
      </c>
      <c r="E111" s="33"/>
      <c r="F111" s="33" t="s">
        <v>83</v>
      </c>
      <c r="G111" s="35">
        <v>13.9</v>
      </c>
    </row>
    <row r="112" spans="1:7" ht="15.75" customHeight="1" x14ac:dyDescent="0.25">
      <c r="A112" s="53">
        <v>8</v>
      </c>
      <c r="B112" s="16"/>
      <c r="C112" s="33"/>
      <c r="D112" s="33"/>
      <c r="E112" s="48"/>
      <c r="F112" s="48" t="s">
        <v>169</v>
      </c>
      <c r="G112" s="50">
        <f>SUM(G108:G111)</f>
        <v>188.08</v>
      </c>
    </row>
    <row r="113" spans="1:7" ht="15.75" customHeight="1" x14ac:dyDescent="0.25">
      <c r="A113" s="16"/>
      <c r="B113" s="34">
        <v>3502</v>
      </c>
      <c r="C113" s="33" t="s">
        <v>134</v>
      </c>
      <c r="D113" s="33" t="s">
        <v>135</v>
      </c>
      <c r="E113" s="33"/>
      <c r="F113" s="33" t="s">
        <v>21</v>
      </c>
      <c r="G113" s="35"/>
    </row>
    <row r="114" spans="1:7" ht="15.75" customHeight="1" x14ac:dyDescent="0.25">
      <c r="A114" s="16"/>
      <c r="B114" s="34">
        <v>3512</v>
      </c>
      <c r="C114" s="33" t="s">
        <v>14</v>
      </c>
      <c r="D114" s="33" t="s">
        <v>15</v>
      </c>
      <c r="E114" s="33"/>
      <c r="F114" s="33" t="s">
        <v>21</v>
      </c>
      <c r="G114" s="35">
        <v>141.74</v>
      </c>
    </row>
    <row r="115" spans="1:7" ht="15.75" customHeight="1" x14ac:dyDescent="0.25">
      <c r="A115" s="16"/>
      <c r="B115" s="34">
        <v>5521</v>
      </c>
      <c r="C115" s="33" t="s">
        <v>143</v>
      </c>
      <c r="D115" s="33" t="s">
        <v>145</v>
      </c>
      <c r="E115" s="33"/>
      <c r="F115" s="33" t="s">
        <v>21</v>
      </c>
      <c r="G115" s="35"/>
    </row>
    <row r="116" spans="1:7" ht="15.75" customHeight="1" x14ac:dyDescent="0.25">
      <c r="A116" s="16"/>
      <c r="B116" s="34">
        <v>2843</v>
      </c>
      <c r="C116" s="33" t="s">
        <v>86</v>
      </c>
      <c r="D116" s="33" t="s">
        <v>87</v>
      </c>
      <c r="E116" s="33"/>
      <c r="F116" s="33" t="s">
        <v>21</v>
      </c>
      <c r="G116" s="35">
        <v>46.26</v>
      </c>
    </row>
    <row r="117" spans="1:7" ht="15.75" customHeight="1" x14ac:dyDescent="0.25">
      <c r="A117" s="53">
        <v>9</v>
      </c>
      <c r="B117" s="47"/>
      <c r="C117" s="33"/>
      <c r="D117" s="33"/>
      <c r="E117" s="48"/>
      <c r="F117" s="48" t="s">
        <v>169</v>
      </c>
      <c r="G117" s="50">
        <f>SUM(G113:G116)</f>
        <v>188</v>
      </c>
    </row>
    <row r="118" spans="1:7" ht="15.75" customHeight="1" x14ac:dyDescent="0.25">
      <c r="A118" s="16"/>
      <c r="B118" s="34">
        <v>5946</v>
      </c>
      <c r="C118" s="33" t="s">
        <v>75</v>
      </c>
      <c r="D118" s="33" t="s">
        <v>76</v>
      </c>
      <c r="E118" s="33"/>
      <c r="F118" s="33" t="s">
        <v>57</v>
      </c>
      <c r="G118" s="35">
        <v>0</v>
      </c>
    </row>
    <row r="119" spans="1:7" ht="15.75" customHeight="1" x14ac:dyDescent="0.25">
      <c r="A119" s="16"/>
      <c r="B119" s="34">
        <v>5981</v>
      </c>
      <c r="C119" s="33" t="s">
        <v>72</v>
      </c>
      <c r="D119" s="33" t="s">
        <v>73</v>
      </c>
      <c r="E119" s="33"/>
      <c r="F119" s="33" t="s">
        <v>57</v>
      </c>
      <c r="G119" s="35">
        <v>67.3</v>
      </c>
    </row>
    <row r="120" spans="1:7" ht="15.75" customHeight="1" x14ac:dyDescent="0.25">
      <c r="A120" s="16"/>
      <c r="B120" s="34">
        <v>5982</v>
      </c>
      <c r="C120" s="33" t="s">
        <v>55</v>
      </c>
      <c r="D120" s="33" t="s">
        <v>56</v>
      </c>
      <c r="E120" s="33"/>
      <c r="F120" s="33" t="s">
        <v>57</v>
      </c>
      <c r="G120" s="35">
        <v>99.54</v>
      </c>
    </row>
    <row r="121" spans="1:7" ht="15.75" customHeight="1" x14ac:dyDescent="0.25">
      <c r="A121" s="16"/>
      <c r="B121" s="34">
        <v>5992</v>
      </c>
      <c r="C121" s="33" t="s">
        <v>77</v>
      </c>
      <c r="D121" s="33" t="s">
        <v>78</v>
      </c>
      <c r="E121" s="33"/>
      <c r="F121" s="33" t="s">
        <v>57</v>
      </c>
      <c r="G121" s="35">
        <v>78.64</v>
      </c>
    </row>
    <row r="122" spans="1:7" ht="15.75" customHeight="1" x14ac:dyDescent="0.25">
      <c r="A122" s="47">
        <v>10</v>
      </c>
      <c r="B122" s="34"/>
      <c r="C122" s="33"/>
      <c r="D122" s="33"/>
      <c r="E122" s="48"/>
      <c r="F122" s="48" t="s">
        <v>169</v>
      </c>
      <c r="G122" s="50">
        <f>SUM(G118:G121)</f>
        <v>245.48000000000002</v>
      </c>
    </row>
    <row r="123" spans="1:7" ht="15.75" customHeight="1" x14ac:dyDescent="0.25">
      <c r="A123" s="16"/>
      <c r="B123" s="34">
        <v>5939</v>
      </c>
      <c r="C123" s="33" t="s">
        <v>137</v>
      </c>
      <c r="D123" s="33" t="s">
        <v>87</v>
      </c>
      <c r="E123" s="33"/>
      <c r="F123" s="33" t="s">
        <v>42</v>
      </c>
      <c r="G123" s="35">
        <v>76.02</v>
      </c>
    </row>
    <row r="124" spans="1:7" ht="15.75" customHeight="1" x14ac:dyDescent="0.25">
      <c r="A124" s="16"/>
      <c r="B124" s="34">
        <v>5990</v>
      </c>
      <c r="C124" s="33" t="s">
        <v>79</v>
      </c>
      <c r="D124" s="33" t="s">
        <v>81</v>
      </c>
      <c r="E124" s="33"/>
      <c r="F124" s="33" t="s">
        <v>42</v>
      </c>
      <c r="G124" s="35">
        <v>75.680000000000007</v>
      </c>
    </row>
    <row r="125" spans="1:7" ht="15.75" customHeight="1" x14ac:dyDescent="0.25">
      <c r="A125" s="16"/>
      <c r="B125" s="34">
        <v>5993</v>
      </c>
      <c r="C125" s="33" t="s">
        <v>165</v>
      </c>
      <c r="D125" s="33" t="s">
        <v>166</v>
      </c>
      <c r="E125" s="33"/>
      <c r="F125" s="33" t="s">
        <v>42</v>
      </c>
      <c r="G125" s="35">
        <v>59.4</v>
      </c>
    </row>
    <row r="126" spans="1:7" ht="15.75" customHeight="1" x14ac:dyDescent="0.25">
      <c r="A126" s="16"/>
      <c r="B126" s="34">
        <v>5995</v>
      </c>
      <c r="C126" s="33" t="s">
        <v>40</v>
      </c>
      <c r="D126" s="33" t="s">
        <v>41</v>
      </c>
      <c r="E126" s="33"/>
      <c r="F126" s="33" t="s">
        <v>42</v>
      </c>
      <c r="G126" s="35">
        <v>1.94</v>
      </c>
    </row>
    <row r="127" spans="1:7" ht="15.75" customHeight="1" x14ac:dyDescent="0.25">
      <c r="A127" s="47">
        <v>11</v>
      </c>
      <c r="B127" s="16"/>
      <c r="C127" s="33"/>
      <c r="D127" s="33"/>
      <c r="E127" s="48"/>
      <c r="F127" s="48" t="s">
        <v>169</v>
      </c>
      <c r="G127" s="50">
        <f>SUM(G123:G126)</f>
        <v>213.04</v>
      </c>
    </row>
    <row r="128" spans="1:7" ht="15.75" customHeight="1" x14ac:dyDescent="0.25">
      <c r="A128" s="16"/>
      <c r="B128" s="34">
        <v>4319</v>
      </c>
      <c r="C128" s="33" t="s">
        <v>91</v>
      </c>
      <c r="D128" s="33" t="s">
        <v>92</v>
      </c>
      <c r="E128" s="33"/>
      <c r="F128" s="33" t="s">
        <v>45</v>
      </c>
      <c r="G128" s="35">
        <v>66.040000000000006</v>
      </c>
    </row>
    <row r="129" spans="1:7" ht="15.75" customHeight="1" x14ac:dyDescent="0.25">
      <c r="A129" s="16"/>
      <c r="B129" s="34">
        <v>4341</v>
      </c>
      <c r="C129" s="33" t="s">
        <v>43</v>
      </c>
      <c r="D129" s="33" t="s">
        <v>44</v>
      </c>
      <c r="E129" s="33"/>
      <c r="F129" s="33" t="s">
        <v>45</v>
      </c>
      <c r="G129" s="35">
        <v>110.86</v>
      </c>
    </row>
    <row r="130" spans="1:7" ht="15.75" customHeight="1" x14ac:dyDescent="0.25">
      <c r="A130" s="16"/>
      <c r="B130" s="34">
        <v>4355</v>
      </c>
      <c r="C130" s="33" t="s">
        <v>157</v>
      </c>
      <c r="D130" s="33" t="s">
        <v>158</v>
      </c>
      <c r="E130" s="33"/>
      <c r="F130" s="33" t="s">
        <v>45</v>
      </c>
      <c r="G130" s="35">
        <v>70.2</v>
      </c>
    </row>
    <row r="131" spans="1:7" ht="15.75" customHeight="1" x14ac:dyDescent="0.25">
      <c r="A131" s="16"/>
      <c r="B131" s="34">
        <v>4425</v>
      </c>
      <c r="C131" s="33" t="s">
        <v>89</v>
      </c>
      <c r="D131" s="33" t="s">
        <v>90</v>
      </c>
      <c r="E131" s="33"/>
      <c r="F131" s="33" t="s">
        <v>45</v>
      </c>
      <c r="G131" s="35">
        <v>50.86</v>
      </c>
    </row>
    <row r="132" spans="1:7" ht="15.75" customHeight="1" x14ac:dyDescent="0.25">
      <c r="A132" s="47">
        <v>12</v>
      </c>
      <c r="B132" s="16"/>
      <c r="C132" s="16"/>
      <c r="D132" s="16"/>
      <c r="E132" s="48"/>
      <c r="F132" s="48" t="s">
        <v>169</v>
      </c>
      <c r="G132" s="50">
        <f>SUM(G128:G131)</f>
        <v>297.96000000000004</v>
      </c>
    </row>
    <row r="133" spans="1:7" ht="15.75" customHeight="1" x14ac:dyDescent="0.25">
      <c r="A133" s="16"/>
      <c r="B133" s="34">
        <v>1771</v>
      </c>
      <c r="C133" s="33" t="s">
        <v>50</v>
      </c>
      <c r="D133" s="33" t="s">
        <v>51</v>
      </c>
      <c r="E133" s="33"/>
      <c r="F133" s="33" t="s">
        <v>28</v>
      </c>
      <c r="G133" s="35">
        <v>64.180000000000007</v>
      </c>
    </row>
    <row r="134" spans="1:7" ht="15.75" customHeight="1" x14ac:dyDescent="0.25">
      <c r="A134" s="16"/>
      <c r="B134" s="34">
        <v>1772</v>
      </c>
      <c r="C134" s="33" t="s">
        <v>68</v>
      </c>
      <c r="D134" s="33" t="s">
        <v>69</v>
      </c>
      <c r="E134" s="33"/>
      <c r="F134" s="33" t="s">
        <v>28</v>
      </c>
      <c r="G134" s="35">
        <v>65.92</v>
      </c>
    </row>
    <row r="135" spans="1:7" ht="15.75" customHeight="1" x14ac:dyDescent="0.25">
      <c r="A135" s="16"/>
      <c r="B135" s="34">
        <v>1800</v>
      </c>
      <c r="C135" s="33" t="s">
        <v>22</v>
      </c>
      <c r="D135" s="33" t="s">
        <v>25</v>
      </c>
      <c r="E135" s="33"/>
      <c r="F135" s="33" t="s">
        <v>28</v>
      </c>
      <c r="G135" s="35">
        <v>129.9</v>
      </c>
    </row>
    <row r="136" spans="1:7" ht="15.75" customHeight="1" x14ac:dyDescent="0.25">
      <c r="A136" s="16"/>
      <c r="B136" s="34">
        <v>1831</v>
      </c>
      <c r="C136" s="33" t="s">
        <v>52</v>
      </c>
      <c r="D136" s="33" t="s">
        <v>53</v>
      </c>
      <c r="E136" s="33"/>
      <c r="F136" s="33" t="s">
        <v>28</v>
      </c>
      <c r="G136" s="35">
        <v>101.72</v>
      </c>
    </row>
    <row r="137" spans="1:7" ht="15.75" customHeight="1" x14ac:dyDescent="0.25">
      <c r="A137" s="47">
        <v>13</v>
      </c>
      <c r="B137" s="16"/>
      <c r="C137" s="17"/>
      <c r="D137" s="16"/>
      <c r="E137" s="49"/>
      <c r="F137" s="49" t="s">
        <v>169</v>
      </c>
      <c r="G137" s="50">
        <f>SUM(G133:G136)</f>
        <v>361.72</v>
      </c>
    </row>
    <row r="138" spans="1:7" ht="15.75" customHeight="1" x14ac:dyDescent="0.25">
      <c r="A138" s="47"/>
    </row>
    <row r="139" spans="1:7" ht="15.75" customHeight="1" x14ac:dyDescent="0.35">
      <c r="B139" s="9" t="s">
        <v>170</v>
      </c>
    </row>
    <row r="140" spans="1:7" ht="15.75" customHeight="1" x14ac:dyDescent="0.25">
      <c r="A140" s="13" t="s">
        <v>167</v>
      </c>
      <c r="B140" s="14" t="s">
        <v>3</v>
      </c>
      <c r="C140" s="14" t="s">
        <v>5</v>
      </c>
      <c r="D140" s="14" t="s">
        <v>6</v>
      </c>
      <c r="E140" s="14"/>
      <c r="F140" s="14" t="s">
        <v>171</v>
      </c>
      <c r="G140" s="14" t="s">
        <v>168</v>
      </c>
    </row>
    <row r="141" spans="1:7" ht="15.75" customHeight="1" x14ac:dyDescent="0.25">
      <c r="A141" s="55">
        <v>1</v>
      </c>
      <c r="B141" s="56">
        <v>6413</v>
      </c>
      <c r="C141" s="57" t="s">
        <v>70</v>
      </c>
      <c r="D141" s="16" t="s">
        <v>71</v>
      </c>
      <c r="E141" s="33"/>
      <c r="F141" s="33" t="s">
        <v>172</v>
      </c>
      <c r="G141" s="34">
        <v>15.72</v>
      </c>
    </row>
    <row r="142" spans="1:7" ht="15.75" customHeight="1" x14ac:dyDescent="0.25">
      <c r="A142" s="55">
        <v>2</v>
      </c>
      <c r="B142" s="56">
        <v>4164</v>
      </c>
      <c r="C142" s="33" t="s">
        <v>13</v>
      </c>
      <c r="D142" s="16" t="s">
        <v>16</v>
      </c>
      <c r="E142" s="33"/>
      <c r="F142" s="33" t="s">
        <v>174</v>
      </c>
      <c r="G142" s="35">
        <v>12.84</v>
      </c>
    </row>
    <row r="143" spans="1:7" ht="15.75" customHeight="1" x14ac:dyDescent="0.25">
      <c r="A143" s="55">
        <v>3</v>
      </c>
      <c r="B143" s="31">
        <v>4318</v>
      </c>
      <c r="C143" s="33" t="s">
        <v>132</v>
      </c>
      <c r="D143" s="16" t="s">
        <v>133</v>
      </c>
      <c r="E143" s="33"/>
      <c r="F143" s="33" t="s">
        <v>172</v>
      </c>
      <c r="G143" s="34">
        <v>12.58</v>
      </c>
    </row>
    <row r="144" spans="1:7" ht="15.75" customHeight="1" x14ac:dyDescent="0.25">
      <c r="A144" s="55">
        <v>4</v>
      </c>
      <c r="B144" s="31">
        <v>3512</v>
      </c>
      <c r="C144" s="33" t="s">
        <v>14</v>
      </c>
      <c r="D144" s="16" t="s">
        <v>15</v>
      </c>
      <c r="E144" s="33"/>
      <c r="F144" s="33" t="s">
        <v>172</v>
      </c>
      <c r="G144" s="61">
        <v>12.5</v>
      </c>
    </row>
    <row r="145" spans="1:7" ht="15.75" customHeight="1" x14ac:dyDescent="0.25">
      <c r="A145" s="55">
        <v>5</v>
      </c>
      <c r="B145" s="44">
        <v>4355</v>
      </c>
      <c r="C145" s="33" t="s">
        <v>157</v>
      </c>
      <c r="D145" s="16" t="s">
        <v>158</v>
      </c>
      <c r="E145" s="33"/>
      <c r="F145" s="33" t="s">
        <v>172</v>
      </c>
      <c r="G145" s="34">
        <v>11.4</v>
      </c>
    </row>
    <row r="146" spans="1:7" ht="15.75" customHeight="1" x14ac:dyDescent="0.25"/>
    <row r="147" spans="1:7" ht="15.75" customHeight="1" x14ac:dyDescent="0.25"/>
    <row r="148" spans="1:7" ht="15.75" customHeight="1" x14ac:dyDescent="0.25"/>
    <row r="149" spans="1:7" ht="15.75" customHeight="1" x14ac:dyDescent="0.25"/>
    <row r="150" spans="1:7" ht="15.75" customHeight="1" x14ac:dyDescent="0.25"/>
    <row r="151" spans="1:7" ht="15.75" customHeight="1" x14ac:dyDescent="0.25"/>
    <row r="152" spans="1:7" ht="15.75" customHeight="1" x14ac:dyDescent="0.25"/>
    <row r="153" spans="1:7" ht="15.75" customHeight="1" x14ac:dyDescent="0.25"/>
    <row r="154" spans="1:7" ht="15.75" customHeight="1" x14ac:dyDescent="0.25"/>
    <row r="155" spans="1:7" ht="15.75" customHeight="1" x14ac:dyDescent="0.25"/>
    <row r="156" spans="1:7" ht="15.75" customHeight="1" x14ac:dyDescent="0.25"/>
    <row r="157" spans="1:7" ht="15.75" customHeight="1" x14ac:dyDescent="0.25"/>
    <row r="158" spans="1:7" ht="15.75" customHeight="1" x14ac:dyDescent="0.25"/>
    <row r="159" spans="1:7" ht="15.75" customHeight="1" x14ac:dyDescent="0.25"/>
    <row r="160" spans="1:7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spans="1:2" ht="15.75" customHeight="1" x14ac:dyDescent="0.25"/>
    <row r="178" spans="1:2" ht="15.75" customHeight="1" x14ac:dyDescent="0.25"/>
    <row r="179" spans="1:2" ht="15.75" customHeight="1" x14ac:dyDescent="0.25"/>
    <row r="180" spans="1:2" ht="15.75" customHeight="1" x14ac:dyDescent="0.25"/>
    <row r="181" spans="1:2" ht="15.75" customHeight="1" x14ac:dyDescent="0.25"/>
    <row r="182" spans="1:2" ht="15.75" customHeight="1" x14ac:dyDescent="0.25"/>
    <row r="183" spans="1:2" ht="15.75" customHeight="1" x14ac:dyDescent="0.25"/>
    <row r="184" spans="1:2" ht="15.75" customHeight="1" x14ac:dyDescent="0.25"/>
    <row r="185" spans="1:2" ht="15.75" customHeight="1" x14ac:dyDescent="0.25"/>
    <row r="186" spans="1:2" ht="15.75" customHeight="1" x14ac:dyDescent="0.25"/>
    <row r="187" spans="1:2" ht="15.75" customHeight="1" x14ac:dyDescent="0.25"/>
    <row r="188" spans="1:2" ht="15.75" customHeight="1" x14ac:dyDescent="0.25"/>
    <row r="189" spans="1:2" ht="15.75" customHeight="1" x14ac:dyDescent="0.25"/>
    <row r="190" spans="1:2" ht="15.75" customHeight="1" x14ac:dyDescent="0.25"/>
    <row r="191" spans="1:2" ht="15.75" customHeight="1" x14ac:dyDescent="0.25">
      <c r="A191" s="26"/>
      <c r="B191" s="26"/>
    </row>
    <row r="192" spans="1:2" ht="15.75" customHeight="1" x14ac:dyDescent="0.25">
      <c r="A192" s="26"/>
      <c r="B192" s="26"/>
    </row>
    <row r="193" spans="1:2" ht="15.75" customHeight="1" x14ac:dyDescent="0.25">
      <c r="A193" s="26"/>
      <c r="B193" s="26"/>
    </row>
    <row r="194" spans="1:2" ht="15.75" customHeight="1" x14ac:dyDescent="0.25">
      <c r="A194" s="26"/>
      <c r="B194" s="26"/>
    </row>
    <row r="195" spans="1:2" ht="15.75" customHeight="1" x14ac:dyDescent="0.25">
      <c r="A195" s="26"/>
      <c r="B195" s="26"/>
    </row>
    <row r="196" spans="1:2" ht="15.75" customHeight="1" x14ac:dyDescent="0.25">
      <c r="A196" s="26"/>
      <c r="B196" s="26"/>
    </row>
    <row r="197" spans="1:2" ht="15.75" customHeight="1" x14ac:dyDescent="0.25">
      <c r="A197" s="26"/>
      <c r="B197" s="26"/>
    </row>
    <row r="198" spans="1:2" ht="15.75" customHeight="1" x14ac:dyDescent="0.25">
      <c r="A198" s="26"/>
      <c r="B198" s="26"/>
    </row>
    <row r="199" spans="1:2" ht="15.75" customHeight="1" x14ac:dyDescent="0.25">
      <c r="A199" s="26"/>
      <c r="B199" s="26"/>
    </row>
    <row r="200" spans="1:2" ht="15.75" customHeight="1" x14ac:dyDescent="0.25">
      <c r="A200" s="26"/>
      <c r="B200" s="26"/>
    </row>
    <row r="201" spans="1:2" ht="15.75" customHeight="1" x14ac:dyDescent="0.25">
      <c r="A201" s="26"/>
      <c r="B201" s="26"/>
    </row>
    <row r="202" spans="1:2" ht="15.75" customHeight="1" x14ac:dyDescent="0.25">
      <c r="A202" s="26"/>
      <c r="B202" s="26"/>
    </row>
    <row r="203" spans="1:2" ht="15.75" customHeight="1" x14ac:dyDescent="0.25">
      <c r="A203" s="26"/>
      <c r="B203" s="26"/>
    </row>
    <row r="204" spans="1:2" ht="15.75" customHeight="1" x14ac:dyDescent="0.25">
      <c r="A204" s="26"/>
      <c r="B204" s="26"/>
    </row>
    <row r="205" spans="1:2" ht="15.75" customHeight="1" x14ac:dyDescent="0.25">
      <c r="A205" s="26"/>
      <c r="B205" s="26"/>
    </row>
    <row r="206" spans="1:2" ht="15.75" customHeight="1" x14ac:dyDescent="0.25">
      <c r="A206" s="26"/>
      <c r="B206" s="26"/>
    </row>
    <row r="207" spans="1:2" ht="15.75" customHeight="1" x14ac:dyDescent="0.25">
      <c r="A207" s="26"/>
      <c r="B207" s="26"/>
    </row>
    <row r="208" spans="1:2" ht="15.75" customHeight="1" x14ac:dyDescent="0.25">
      <c r="A208" s="26"/>
      <c r="B208" s="26"/>
    </row>
    <row r="209" spans="1:2" ht="15.75" customHeight="1" x14ac:dyDescent="0.25">
      <c r="A209" s="26"/>
      <c r="B209" s="26"/>
    </row>
    <row r="210" spans="1:2" ht="15.75" customHeight="1" x14ac:dyDescent="0.25">
      <c r="A210" s="26"/>
      <c r="B210" s="26"/>
    </row>
    <row r="211" spans="1:2" ht="15.75" customHeight="1" x14ac:dyDescent="0.25">
      <c r="A211" s="26"/>
      <c r="B211" s="26"/>
    </row>
    <row r="212" spans="1:2" ht="15.75" customHeight="1" x14ac:dyDescent="0.25">
      <c r="A212" s="26"/>
      <c r="B212" s="26"/>
    </row>
    <row r="213" spans="1:2" ht="15.75" customHeight="1" x14ac:dyDescent="0.25">
      <c r="A213" s="26"/>
      <c r="B213" s="26"/>
    </row>
    <row r="214" spans="1:2" ht="15.75" customHeight="1" x14ac:dyDescent="0.25">
      <c r="A214" s="26"/>
      <c r="B214" s="26"/>
    </row>
    <row r="215" spans="1:2" ht="15.75" customHeight="1" x14ac:dyDescent="0.25">
      <c r="A215" s="26"/>
      <c r="B215" s="26"/>
    </row>
    <row r="216" spans="1:2" ht="15.75" customHeight="1" x14ac:dyDescent="0.25">
      <c r="A216" s="26"/>
      <c r="B216" s="26"/>
    </row>
    <row r="217" spans="1:2" ht="15.75" customHeight="1" x14ac:dyDescent="0.25">
      <c r="A217" s="26"/>
      <c r="B217" s="26"/>
    </row>
    <row r="218" spans="1:2" ht="15.75" customHeight="1" x14ac:dyDescent="0.25">
      <c r="A218" s="26"/>
      <c r="B218" s="26"/>
    </row>
    <row r="219" spans="1:2" ht="15.75" customHeight="1" x14ac:dyDescent="0.25">
      <c r="A219" s="26"/>
      <c r="B219" s="26"/>
    </row>
    <row r="220" spans="1:2" ht="15.75" customHeight="1" x14ac:dyDescent="0.25">
      <c r="A220" s="26"/>
      <c r="B220" s="26"/>
    </row>
    <row r="221" spans="1:2" ht="15.75" customHeight="1" x14ac:dyDescent="0.25">
      <c r="A221" s="26"/>
      <c r="B221" s="26"/>
    </row>
    <row r="222" spans="1:2" ht="15.75" customHeight="1" x14ac:dyDescent="0.25">
      <c r="A222" s="26"/>
      <c r="B222" s="26"/>
    </row>
    <row r="223" spans="1:2" ht="15.75" customHeight="1" x14ac:dyDescent="0.25">
      <c r="A223" s="26"/>
      <c r="B223" s="26"/>
    </row>
    <row r="224" spans="1:2" ht="15.75" customHeight="1" x14ac:dyDescent="0.25">
      <c r="A224" s="26"/>
      <c r="B224" s="26"/>
    </row>
    <row r="225" spans="1:2" ht="15.75" customHeight="1" x14ac:dyDescent="0.25">
      <c r="A225" s="26"/>
      <c r="B225" s="26"/>
    </row>
    <row r="226" spans="1:2" ht="15.75" customHeight="1" x14ac:dyDescent="0.25">
      <c r="A226" s="26"/>
      <c r="B226" s="26"/>
    </row>
    <row r="227" spans="1:2" ht="15.75" customHeight="1" x14ac:dyDescent="0.25">
      <c r="A227" s="26"/>
      <c r="B227" s="26"/>
    </row>
    <row r="228" spans="1:2" ht="15.75" customHeight="1" x14ac:dyDescent="0.25">
      <c r="A228" s="26"/>
      <c r="B228" s="26"/>
    </row>
    <row r="229" spans="1:2" ht="15.75" customHeight="1" x14ac:dyDescent="0.25">
      <c r="A229" s="26"/>
      <c r="B229" s="26"/>
    </row>
    <row r="230" spans="1:2" ht="15.75" customHeight="1" x14ac:dyDescent="0.25">
      <c r="A230" s="26"/>
      <c r="B230" s="26"/>
    </row>
    <row r="231" spans="1:2" ht="15.75" customHeight="1" x14ac:dyDescent="0.25">
      <c r="A231" s="26"/>
      <c r="B231" s="26"/>
    </row>
    <row r="232" spans="1:2" ht="15.75" customHeight="1" x14ac:dyDescent="0.25">
      <c r="A232" s="26"/>
      <c r="B232" s="26"/>
    </row>
    <row r="233" spans="1:2" ht="15.75" customHeight="1" x14ac:dyDescent="0.25">
      <c r="A233" s="26"/>
      <c r="B233" s="26"/>
    </row>
    <row r="234" spans="1:2" ht="15.75" customHeight="1" x14ac:dyDescent="0.25">
      <c r="A234" s="26"/>
      <c r="B234" s="26"/>
    </row>
    <row r="235" spans="1:2" ht="15.75" customHeight="1" x14ac:dyDescent="0.25">
      <c r="A235" s="26"/>
      <c r="B235" s="26"/>
    </row>
    <row r="236" spans="1:2" ht="15.75" customHeight="1" x14ac:dyDescent="0.25">
      <c r="A236" s="26"/>
      <c r="B236" s="26"/>
    </row>
    <row r="237" spans="1:2" ht="15.75" customHeight="1" x14ac:dyDescent="0.25">
      <c r="A237" s="26"/>
      <c r="B237" s="26"/>
    </row>
    <row r="238" spans="1:2" ht="15.75" customHeight="1" x14ac:dyDescent="0.25">
      <c r="A238" s="26"/>
      <c r="B238" s="26"/>
    </row>
    <row r="239" spans="1:2" ht="15.75" customHeight="1" x14ac:dyDescent="0.25">
      <c r="A239" s="26"/>
      <c r="B239" s="26"/>
    </row>
    <row r="240" spans="1:2" ht="15.75" customHeight="1" x14ac:dyDescent="0.25">
      <c r="A240" s="26"/>
      <c r="B240" s="26"/>
    </row>
    <row r="241" spans="1:2" ht="15.75" customHeight="1" x14ac:dyDescent="0.25">
      <c r="A241" s="26"/>
      <c r="B241" s="26"/>
    </row>
    <row r="242" spans="1:2" ht="15.75" customHeight="1" x14ac:dyDescent="0.25">
      <c r="A242" s="26"/>
      <c r="B242" s="26"/>
    </row>
    <row r="243" spans="1:2" ht="15.75" customHeight="1" x14ac:dyDescent="0.25">
      <c r="A243" s="26"/>
      <c r="B243" s="26"/>
    </row>
    <row r="244" spans="1:2" ht="15.75" customHeight="1" x14ac:dyDescent="0.25">
      <c r="A244" s="26"/>
      <c r="B244" s="26"/>
    </row>
    <row r="245" spans="1:2" ht="15.75" customHeight="1" x14ac:dyDescent="0.25">
      <c r="A245" s="26"/>
      <c r="B245" s="26"/>
    </row>
    <row r="246" spans="1:2" ht="15.75" customHeight="1" x14ac:dyDescent="0.25">
      <c r="A246" s="26"/>
      <c r="B246" s="26"/>
    </row>
    <row r="247" spans="1:2" ht="15.75" customHeight="1" x14ac:dyDescent="0.25">
      <c r="A247" s="26"/>
      <c r="B247" s="26"/>
    </row>
    <row r="248" spans="1:2" ht="15.75" customHeight="1" x14ac:dyDescent="0.25">
      <c r="A248" s="26"/>
      <c r="B248" s="26"/>
    </row>
    <row r="249" spans="1:2" ht="15.75" customHeight="1" x14ac:dyDescent="0.25">
      <c r="A249" s="26"/>
      <c r="B249" s="26"/>
    </row>
    <row r="250" spans="1:2" ht="15.75" customHeight="1" x14ac:dyDescent="0.25">
      <c r="A250" s="26"/>
      <c r="B250" s="26"/>
    </row>
    <row r="251" spans="1:2" ht="15.75" customHeight="1" x14ac:dyDescent="0.25">
      <c r="A251" s="26"/>
      <c r="B251" s="26"/>
    </row>
    <row r="252" spans="1:2" ht="15.75" customHeight="1" x14ac:dyDescent="0.25">
      <c r="A252" s="26"/>
      <c r="B252" s="26"/>
    </row>
    <row r="253" spans="1:2" ht="15.75" customHeight="1" x14ac:dyDescent="0.25">
      <c r="A253" s="26"/>
      <c r="B253" s="26"/>
    </row>
    <row r="254" spans="1:2" ht="15.75" customHeight="1" x14ac:dyDescent="0.25">
      <c r="A254" s="26"/>
      <c r="B254" s="26"/>
    </row>
    <row r="255" spans="1:2" ht="15.75" customHeight="1" x14ac:dyDescent="0.25">
      <c r="A255" s="26"/>
      <c r="B255" s="26"/>
    </row>
    <row r="256" spans="1:2" ht="15.75" customHeight="1" x14ac:dyDescent="0.25">
      <c r="A256" s="26"/>
      <c r="B256" s="26"/>
    </row>
    <row r="257" spans="1:2" ht="15.75" customHeight="1" x14ac:dyDescent="0.25">
      <c r="A257" s="26"/>
      <c r="B257" s="26"/>
    </row>
    <row r="258" spans="1:2" ht="15.75" customHeight="1" x14ac:dyDescent="0.25">
      <c r="A258" s="26"/>
      <c r="B258" s="26"/>
    </row>
    <row r="259" spans="1:2" ht="15.75" customHeight="1" x14ac:dyDescent="0.25">
      <c r="A259" s="26"/>
      <c r="B259" s="26"/>
    </row>
    <row r="260" spans="1:2" ht="15.75" customHeight="1" x14ac:dyDescent="0.25">
      <c r="A260" s="26"/>
      <c r="B260" s="26"/>
    </row>
    <row r="261" spans="1:2" ht="15.75" customHeight="1" x14ac:dyDescent="0.25">
      <c r="A261" s="26"/>
      <c r="B261" s="26"/>
    </row>
    <row r="262" spans="1:2" ht="15.75" customHeight="1" x14ac:dyDescent="0.25">
      <c r="A262" s="26"/>
      <c r="B262" s="26"/>
    </row>
    <row r="263" spans="1:2" ht="15.75" customHeight="1" x14ac:dyDescent="0.25">
      <c r="A263" s="26"/>
      <c r="B263" s="26"/>
    </row>
    <row r="264" spans="1:2" ht="15.75" customHeight="1" x14ac:dyDescent="0.25">
      <c r="A264" s="26"/>
      <c r="B264" s="26"/>
    </row>
    <row r="265" spans="1:2" ht="15.75" customHeight="1" x14ac:dyDescent="0.25">
      <c r="A265" s="26"/>
      <c r="B265" s="26"/>
    </row>
    <row r="266" spans="1:2" ht="15.75" customHeight="1" x14ac:dyDescent="0.25">
      <c r="A266" s="26"/>
      <c r="B266" s="26"/>
    </row>
    <row r="267" spans="1:2" ht="15.75" customHeight="1" x14ac:dyDescent="0.25">
      <c r="A267" s="26"/>
      <c r="B267" s="26"/>
    </row>
    <row r="268" spans="1:2" ht="15.75" customHeight="1" x14ac:dyDescent="0.25">
      <c r="A268" s="26"/>
      <c r="B268" s="26"/>
    </row>
    <row r="269" spans="1:2" ht="15.75" customHeight="1" x14ac:dyDescent="0.25">
      <c r="A269" s="26"/>
      <c r="B269" s="26"/>
    </row>
    <row r="270" spans="1:2" ht="15.75" customHeight="1" x14ac:dyDescent="0.25">
      <c r="A270" s="26"/>
      <c r="B270" s="26"/>
    </row>
    <row r="271" spans="1:2" ht="15.75" customHeight="1" x14ac:dyDescent="0.25">
      <c r="A271" s="26"/>
      <c r="B271" s="26"/>
    </row>
    <row r="272" spans="1:2" ht="15.75" customHeight="1" x14ac:dyDescent="0.25">
      <c r="A272" s="26"/>
      <c r="B272" s="26"/>
    </row>
    <row r="273" spans="1:2" ht="15.75" customHeight="1" x14ac:dyDescent="0.25">
      <c r="A273" s="26"/>
      <c r="B273" s="26"/>
    </row>
    <row r="274" spans="1:2" ht="15.75" customHeight="1" x14ac:dyDescent="0.25">
      <c r="A274" s="26"/>
      <c r="B274" s="26"/>
    </row>
    <row r="275" spans="1:2" ht="15.75" customHeight="1" x14ac:dyDescent="0.25">
      <c r="A275" s="26"/>
      <c r="B275" s="26"/>
    </row>
    <row r="276" spans="1:2" ht="15.75" customHeight="1" x14ac:dyDescent="0.25">
      <c r="A276" s="26"/>
      <c r="B276" s="26"/>
    </row>
    <row r="277" spans="1:2" ht="15.75" customHeight="1" x14ac:dyDescent="0.25">
      <c r="A277" s="26"/>
      <c r="B277" s="26"/>
    </row>
    <row r="278" spans="1:2" ht="15.75" customHeight="1" x14ac:dyDescent="0.25">
      <c r="A278" s="26"/>
      <c r="B278" s="26"/>
    </row>
    <row r="279" spans="1:2" ht="15.75" customHeight="1" x14ac:dyDescent="0.25">
      <c r="A279" s="26"/>
      <c r="B279" s="26"/>
    </row>
    <row r="280" spans="1:2" ht="15.75" customHeight="1" x14ac:dyDescent="0.25">
      <c r="A280" s="26"/>
      <c r="B280" s="26"/>
    </row>
    <row r="281" spans="1:2" ht="15.75" customHeight="1" x14ac:dyDescent="0.25">
      <c r="A281" s="26"/>
      <c r="B281" s="26"/>
    </row>
    <row r="282" spans="1:2" ht="15.75" customHeight="1" x14ac:dyDescent="0.25">
      <c r="A282" s="26"/>
      <c r="B282" s="26"/>
    </row>
    <row r="283" spans="1:2" ht="15.75" customHeight="1" x14ac:dyDescent="0.25">
      <c r="A283" s="26"/>
      <c r="B283" s="26"/>
    </row>
    <row r="284" spans="1:2" ht="15.75" customHeight="1" x14ac:dyDescent="0.25">
      <c r="A284" s="26"/>
      <c r="B284" s="26"/>
    </row>
    <row r="285" spans="1:2" ht="15.75" customHeight="1" x14ac:dyDescent="0.25">
      <c r="A285" s="26"/>
      <c r="B285" s="26"/>
    </row>
    <row r="286" spans="1:2" ht="15.75" customHeight="1" x14ac:dyDescent="0.25">
      <c r="A286" s="26"/>
      <c r="B286" s="26"/>
    </row>
    <row r="287" spans="1:2" ht="15.75" customHeight="1" x14ac:dyDescent="0.25">
      <c r="A287" s="26"/>
      <c r="B287" s="26"/>
    </row>
    <row r="288" spans="1:2" ht="15.75" customHeight="1" x14ac:dyDescent="0.25">
      <c r="A288" s="26"/>
      <c r="B288" s="26"/>
    </row>
    <row r="289" spans="1:2" ht="15.75" customHeight="1" x14ac:dyDescent="0.25">
      <c r="A289" s="26"/>
      <c r="B289" s="26"/>
    </row>
    <row r="290" spans="1:2" ht="15.75" customHeight="1" x14ac:dyDescent="0.25">
      <c r="A290" s="26"/>
      <c r="B290" s="26"/>
    </row>
    <row r="291" spans="1:2" ht="15.75" customHeight="1" x14ac:dyDescent="0.25">
      <c r="A291" s="26"/>
      <c r="B291" s="26"/>
    </row>
    <row r="292" spans="1:2" ht="15.75" customHeight="1" x14ac:dyDescent="0.25">
      <c r="A292" s="26"/>
      <c r="B292" s="26"/>
    </row>
    <row r="293" spans="1:2" ht="15.75" customHeight="1" x14ac:dyDescent="0.25">
      <c r="A293" s="26"/>
      <c r="B293" s="26"/>
    </row>
    <row r="294" spans="1:2" ht="15.75" customHeight="1" x14ac:dyDescent="0.25">
      <c r="A294" s="26"/>
      <c r="B294" s="26"/>
    </row>
    <row r="295" spans="1:2" ht="15.75" customHeight="1" x14ac:dyDescent="0.25">
      <c r="A295" s="26"/>
      <c r="B295" s="26"/>
    </row>
    <row r="296" spans="1:2" ht="15.75" customHeight="1" x14ac:dyDescent="0.25">
      <c r="A296" s="26"/>
      <c r="B296" s="26"/>
    </row>
    <row r="297" spans="1:2" ht="15.75" customHeight="1" x14ac:dyDescent="0.25">
      <c r="A297" s="26"/>
      <c r="B297" s="26"/>
    </row>
    <row r="298" spans="1:2" ht="15.75" customHeight="1" x14ac:dyDescent="0.25">
      <c r="A298" s="26"/>
      <c r="B298" s="26"/>
    </row>
    <row r="299" spans="1:2" ht="15.75" customHeight="1" x14ac:dyDescent="0.25">
      <c r="A299" s="26"/>
      <c r="B299" s="26"/>
    </row>
    <row r="300" spans="1:2" ht="15.75" customHeight="1" x14ac:dyDescent="0.25">
      <c r="A300" s="26"/>
      <c r="B300" s="26"/>
    </row>
    <row r="301" spans="1:2" ht="15.75" customHeight="1" x14ac:dyDescent="0.25">
      <c r="A301" s="26"/>
      <c r="B301" s="26"/>
    </row>
    <row r="302" spans="1:2" ht="15.75" customHeight="1" x14ac:dyDescent="0.25">
      <c r="A302" s="26"/>
      <c r="B302" s="26"/>
    </row>
    <row r="303" spans="1:2" ht="15.75" customHeight="1" x14ac:dyDescent="0.25">
      <c r="A303" s="26"/>
      <c r="B303" s="26"/>
    </row>
    <row r="304" spans="1:2" ht="15.75" customHeight="1" x14ac:dyDescent="0.25">
      <c r="A304" s="26"/>
      <c r="B304" s="26"/>
    </row>
    <row r="305" spans="1:2" ht="15.75" customHeight="1" x14ac:dyDescent="0.25">
      <c r="A305" s="26"/>
      <c r="B305" s="26"/>
    </row>
    <row r="306" spans="1:2" ht="15.75" customHeight="1" x14ac:dyDescent="0.25">
      <c r="A306" s="26"/>
      <c r="B306" s="26"/>
    </row>
    <row r="307" spans="1:2" ht="15.75" customHeight="1" x14ac:dyDescent="0.25">
      <c r="A307" s="26"/>
      <c r="B307" s="26"/>
    </row>
    <row r="308" spans="1:2" ht="15.75" customHeight="1" x14ac:dyDescent="0.25">
      <c r="A308" s="26"/>
      <c r="B308" s="26"/>
    </row>
    <row r="309" spans="1:2" ht="15.75" customHeight="1" x14ac:dyDescent="0.25">
      <c r="A309" s="26"/>
      <c r="B309" s="26"/>
    </row>
    <row r="310" spans="1:2" ht="15.75" customHeight="1" x14ac:dyDescent="0.25">
      <c r="A310" s="26"/>
      <c r="B310" s="26"/>
    </row>
    <row r="311" spans="1:2" ht="15.75" customHeight="1" x14ac:dyDescent="0.25">
      <c r="A311" s="26"/>
      <c r="B311" s="26"/>
    </row>
    <row r="312" spans="1:2" ht="15.75" customHeight="1" x14ac:dyDescent="0.25">
      <c r="A312" s="26"/>
      <c r="B312" s="26"/>
    </row>
    <row r="313" spans="1:2" ht="15.75" customHeight="1" x14ac:dyDescent="0.25">
      <c r="A313" s="26"/>
      <c r="B313" s="26"/>
    </row>
    <row r="314" spans="1:2" ht="15.75" customHeight="1" x14ac:dyDescent="0.25">
      <c r="A314" s="26"/>
      <c r="B314" s="26"/>
    </row>
    <row r="315" spans="1:2" ht="15.75" customHeight="1" x14ac:dyDescent="0.25">
      <c r="A315" s="26"/>
      <c r="B315" s="26"/>
    </row>
    <row r="316" spans="1:2" ht="15.75" customHeight="1" x14ac:dyDescent="0.25">
      <c r="A316" s="26"/>
      <c r="B316" s="26"/>
    </row>
    <row r="317" spans="1:2" ht="15.75" customHeight="1" x14ac:dyDescent="0.25">
      <c r="A317" s="26"/>
      <c r="B317" s="26"/>
    </row>
    <row r="318" spans="1:2" ht="15.75" customHeight="1" x14ac:dyDescent="0.25">
      <c r="A318" s="26"/>
      <c r="B318" s="26"/>
    </row>
    <row r="319" spans="1:2" ht="15.75" customHeight="1" x14ac:dyDescent="0.25">
      <c r="A319" s="26"/>
      <c r="B319" s="26"/>
    </row>
    <row r="320" spans="1:2" ht="15.75" customHeight="1" x14ac:dyDescent="0.25">
      <c r="A320" s="26"/>
      <c r="B320" s="26"/>
    </row>
    <row r="321" spans="1:2" ht="15.75" customHeight="1" x14ac:dyDescent="0.25">
      <c r="A321" s="26"/>
      <c r="B321" s="26"/>
    </row>
    <row r="322" spans="1:2" ht="15.75" customHeight="1" x14ac:dyDescent="0.25">
      <c r="A322" s="26"/>
      <c r="B322" s="26"/>
    </row>
    <row r="323" spans="1:2" ht="15.75" customHeight="1" x14ac:dyDescent="0.25">
      <c r="A323" s="26"/>
      <c r="B323" s="26"/>
    </row>
    <row r="324" spans="1:2" ht="15.75" customHeight="1" x14ac:dyDescent="0.25">
      <c r="A324" s="26"/>
      <c r="B324" s="26"/>
    </row>
    <row r="325" spans="1:2" ht="15.75" customHeight="1" x14ac:dyDescent="0.25">
      <c r="A325" s="26"/>
      <c r="B325" s="26"/>
    </row>
    <row r="326" spans="1:2" ht="15.75" customHeight="1" x14ac:dyDescent="0.25">
      <c r="A326" s="26"/>
      <c r="B326" s="26"/>
    </row>
    <row r="327" spans="1:2" ht="15.75" customHeight="1" x14ac:dyDescent="0.25">
      <c r="A327" s="26"/>
      <c r="B327" s="26"/>
    </row>
    <row r="328" spans="1:2" ht="15.75" customHeight="1" x14ac:dyDescent="0.25">
      <c r="A328" s="26"/>
      <c r="B328" s="26"/>
    </row>
    <row r="329" spans="1:2" ht="15.75" customHeight="1" x14ac:dyDescent="0.25">
      <c r="A329" s="26"/>
      <c r="B329" s="26"/>
    </row>
    <row r="330" spans="1:2" ht="15.75" customHeight="1" x14ac:dyDescent="0.25">
      <c r="A330" s="26"/>
      <c r="B330" s="26"/>
    </row>
    <row r="331" spans="1:2" ht="15.75" customHeight="1" x14ac:dyDescent="0.25">
      <c r="A331" s="26"/>
      <c r="B331" s="26"/>
    </row>
    <row r="332" spans="1:2" ht="15.75" customHeight="1" x14ac:dyDescent="0.25">
      <c r="A332" s="26"/>
      <c r="B332" s="26"/>
    </row>
    <row r="333" spans="1:2" ht="15.75" customHeight="1" x14ac:dyDescent="0.25">
      <c r="A333" s="26"/>
      <c r="B333" s="26"/>
    </row>
    <row r="334" spans="1:2" ht="15.75" customHeight="1" x14ac:dyDescent="0.25">
      <c r="A334" s="26"/>
      <c r="B334" s="26"/>
    </row>
    <row r="335" spans="1:2" ht="15.75" customHeight="1" x14ac:dyDescent="0.25">
      <c r="A335" s="26"/>
      <c r="B335" s="26"/>
    </row>
    <row r="336" spans="1:2" ht="15.75" customHeight="1" x14ac:dyDescent="0.25">
      <c r="A336" s="26"/>
      <c r="B336" s="26"/>
    </row>
    <row r="337" spans="1:2" ht="15.75" customHeight="1" x14ac:dyDescent="0.25">
      <c r="A337" s="26"/>
      <c r="B337" s="26"/>
    </row>
    <row r="338" spans="1:2" ht="15.75" customHeight="1" x14ac:dyDescent="0.25">
      <c r="A338" s="26"/>
      <c r="B338" s="26"/>
    </row>
    <row r="339" spans="1:2" ht="15.75" customHeight="1" x14ac:dyDescent="0.25">
      <c r="A339" s="26"/>
      <c r="B339" s="26"/>
    </row>
    <row r="340" spans="1:2" ht="15.75" customHeight="1" x14ac:dyDescent="0.25">
      <c r="A340" s="26"/>
      <c r="B340" s="26"/>
    </row>
    <row r="341" spans="1:2" ht="15.75" customHeight="1" x14ac:dyDescent="0.25">
      <c r="A341" s="26"/>
      <c r="B341" s="26"/>
    </row>
    <row r="342" spans="1:2" ht="15.75" customHeight="1" x14ac:dyDescent="0.25">
      <c r="A342" s="26"/>
      <c r="B342" s="26"/>
    </row>
    <row r="343" spans="1:2" ht="15.75" customHeight="1" x14ac:dyDescent="0.25">
      <c r="A343" s="26"/>
      <c r="B343" s="26"/>
    </row>
    <row r="344" spans="1:2" ht="15.75" customHeight="1" x14ac:dyDescent="0.25">
      <c r="A344" s="26"/>
      <c r="B344" s="26"/>
    </row>
    <row r="345" spans="1:2" ht="15.75" customHeight="1" x14ac:dyDescent="0.25">
      <c r="A345" s="26"/>
      <c r="B345" s="26"/>
    </row>
    <row r="346" spans="1:2" ht="15.75" customHeight="1" x14ac:dyDescent="0.25">
      <c r="A346" s="26"/>
      <c r="B346" s="26"/>
    </row>
    <row r="347" spans="1:2" ht="15.75" customHeight="1" x14ac:dyDescent="0.25">
      <c r="A347" s="26"/>
      <c r="B347" s="26"/>
    </row>
    <row r="348" spans="1:2" ht="15.75" customHeight="1" x14ac:dyDescent="0.25">
      <c r="A348" s="26"/>
      <c r="B348" s="26"/>
    </row>
    <row r="349" spans="1:2" ht="15.75" customHeight="1" x14ac:dyDescent="0.25">
      <c r="A349" s="26"/>
      <c r="B349" s="26"/>
    </row>
    <row r="350" spans="1:2" ht="15.75" customHeight="1" x14ac:dyDescent="0.25">
      <c r="A350" s="26"/>
      <c r="B350" s="26"/>
    </row>
    <row r="351" spans="1:2" ht="15.75" customHeight="1" x14ac:dyDescent="0.25">
      <c r="A351" s="26"/>
      <c r="B351" s="26"/>
    </row>
    <row r="352" spans="1:2" ht="15.75" customHeight="1" x14ac:dyDescent="0.25">
      <c r="A352" s="26"/>
      <c r="B352" s="26"/>
    </row>
    <row r="353" spans="1:2" ht="15.75" customHeight="1" x14ac:dyDescent="0.25">
      <c r="A353" s="26"/>
      <c r="B353" s="26"/>
    </row>
    <row r="354" spans="1:2" ht="15.75" customHeight="1" x14ac:dyDescent="0.25">
      <c r="A354" s="26"/>
      <c r="B354" s="26"/>
    </row>
    <row r="355" spans="1:2" ht="15.75" customHeight="1" x14ac:dyDescent="0.25">
      <c r="A355" s="26"/>
      <c r="B355" s="26"/>
    </row>
    <row r="356" spans="1:2" ht="15.75" customHeight="1" x14ac:dyDescent="0.25">
      <c r="A356" s="26"/>
      <c r="B356" s="26"/>
    </row>
    <row r="357" spans="1:2" ht="15.75" customHeight="1" x14ac:dyDescent="0.25">
      <c r="A357" s="26"/>
      <c r="B357" s="26"/>
    </row>
    <row r="358" spans="1:2" ht="15.75" customHeight="1" x14ac:dyDescent="0.25">
      <c r="A358" s="26"/>
      <c r="B358" s="26"/>
    </row>
    <row r="359" spans="1:2" ht="15.75" customHeight="1" x14ac:dyDescent="0.25">
      <c r="A359" s="26"/>
      <c r="B359" s="26"/>
    </row>
    <row r="360" spans="1:2" ht="15.75" customHeight="1" x14ac:dyDescent="0.25">
      <c r="A360" s="26"/>
      <c r="B360" s="26"/>
    </row>
    <row r="361" spans="1:2" ht="15.75" customHeight="1" x14ac:dyDescent="0.25">
      <c r="A361" s="26"/>
      <c r="B361" s="26"/>
    </row>
    <row r="362" spans="1:2" ht="15.75" customHeight="1" x14ac:dyDescent="0.25">
      <c r="A362" s="26"/>
      <c r="B362" s="26"/>
    </row>
    <row r="363" spans="1:2" ht="15.75" customHeight="1" x14ac:dyDescent="0.25">
      <c r="A363" s="26"/>
      <c r="B363" s="26"/>
    </row>
    <row r="364" spans="1:2" ht="15.75" customHeight="1" x14ac:dyDescent="0.25">
      <c r="A364" s="26"/>
      <c r="B364" s="26"/>
    </row>
    <row r="365" spans="1:2" ht="15.75" customHeight="1" x14ac:dyDescent="0.25">
      <c r="A365" s="26"/>
      <c r="B365" s="26"/>
    </row>
    <row r="366" spans="1:2" ht="15.75" customHeight="1" x14ac:dyDescent="0.25">
      <c r="A366" s="26"/>
      <c r="B366" s="26"/>
    </row>
    <row r="367" spans="1:2" ht="15.75" customHeight="1" x14ac:dyDescent="0.25">
      <c r="A367" s="26"/>
      <c r="B367" s="26"/>
    </row>
    <row r="368" spans="1:2" ht="15.75" customHeight="1" x14ac:dyDescent="0.25">
      <c r="A368" s="26"/>
      <c r="B368" s="26"/>
    </row>
    <row r="369" spans="1:2" ht="15.75" customHeight="1" x14ac:dyDescent="0.25">
      <c r="A369" s="26"/>
      <c r="B369" s="26"/>
    </row>
    <row r="370" spans="1:2" ht="15.75" customHeight="1" x14ac:dyDescent="0.25">
      <c r="A370" s="26"/>
      <c r="B370" s="26"/>
    </row>
    <row r="371" spans="1:2" ht="15.75" customHeight="1" x14ac:dyDescent="0.25">
      <c r="A371" s="26"/>
      <c r="B371" s="26"/>
    </row>
    <row r="372" spans="1:2" ht="15.75" customHeight="1" x14ac:dyDescent="0.25">
      <c r="A372" s="26"/>
      <c r="B372" s="26"/>
    </row>
    <row r="373" spans="1:2" ht="15.75" customHeight="1" x14ac:dyDescent="0.25">
      <c r="A373" s="26"/>
      <c r="B373" s="26"/>
    </row>
    <row r="374" spans="1:2" ht="15.75" customHeight="1" x14ac:dyDescent="0.25">
      <c r="A374" s="26"/>
      <c r="B374" s="26"/>
    </row>
    <row r="375" spans="1:2" ht="15.75" customHeight="1" x14ac:dyDescent="0.25">
      <c r="A375" s="26"/>
      <c r="B375" s="26"/>
    </row>
    <row r="376" spans="1:2" ht="15.75" customHeight="1" x14ac:dyDescent="0.25">
      <c r="A376" s="26"/>
      <c r="B376" s="26"/>
    </row>
    <row r="377" spans="1:2" ht="15.75" customHeight="1" x14ac:dyDescent="0.25">
      <c r="A377" s="26"/>
      <c r="B377" s="26"/>
    </row>
    <row r="378" spans="1:2" ht="15.75" customHeight="1" x14ac:dyDescent="0.25">
      <c r="A378" s="26"/>
      <c r="B378" s="26"/>
    </row>
    <row r="379" spans="1:2" ht="15.75" customHeight="1" x14ac:dyDescent="0.25">
      <c r="A379" s="26"/>
      <c r="B379" s="26"/>
    </row>
    <row r="380" spans="1:2" ht="15.75" customHeight="1" x14ac:dyDescent="0.25">
      <c r="A380" s="26"/>
      <c r="B380" s="26"/>
    </row>
    <row r="381" spans="1:2" ht="15.75" customHeight="1" x14ac:dyDescent="0.25">
      <c r="A381" s="26"/>
      <c r="B381" s="26"/>
    </row>
    <row r="382" spans="1:2" ht="15.75" customHeight="1" x14ac:dyDescent="0.25">
      <c r="A382" s="26"/>
      <c r="B382" s="26"/>
    </row>
    <row r="383" spans="1:2" ht="15.75" customHeight="1" x14ac:dyDescent="0.25">
      <c r="A383" s="26"/>
      <c r="B383" s="26"/>
    </row>
    <row r="384" spans="1:2" ht="15.75" customHeight="1" x14ac:dyDescent="0.25">
      <c r="A384" s="26"/>
      <c r="B384" s="26"/>
    </row>
    <row r="385" spans="1:2" ht="15.75" customHeight="1" x14ac:dyDescent="0.25">
      <c r="A385" s="26"/>
      <c r="B385" s="26"/>
    </row>
    <row r="386" spans="1:2" ht="15.75" customHeight="1" x14ac:dyDescent="0.25">
      <c r="A386" s="26"/>
      <c r="B386" s="26"/>
    </row>
    <row r="387" spans="1:2" ht="15.75" customHeight="1" x14ac:dyDescent="0.25">
      <c r="A387" s="26"/>
      <c r="B387" s="26"/>
    </row>
    <row r="388" spans="1:2" ht="15.75" customHeight="1" x14ac:dyDescent="0.25">
      <c r="A388" s="26"/>
      <c r="B388" s="26"/>
    </row>
    <row r="389" spans="1:2" ht="15.75" customHeight="1" x14ac:dyDescent="0.25">
      <c r="A389" s="26"/>
      <c r="B389" s="26"/>
    </row>
    <row r="390" spans="1:2" ht="15.75" customHeight="1" x14ac:dyDescent="0.25">
      <c r="A390" s="26"/>
      <c r="B390" s="26"/>
    </row>
    <row r="391" spans="1:2" ht="15.75" customHeight="1" x14ac:dyDescent="0.25">
      <c r="A391" s="26"/>
      <c r="B391" s="26"/>
    </row>
    <row r="392" spans="1:2" ht="15.75" customHeight="1" x14ac:dyDescent="0.25">
      <c r="A392" s="26"/>
      <c r="B392" s="26"/>
    </row>
    <row r="393" spans="1:2" ht="15.75" customHeight="1" x14ac:dyDescent="0.25">
      <c r="A393" s="26"/>
      <c r="B393" s="26"/>
    </row>
    <row r="394" spans="1:2" ht="15.75" customHeight="1" x14ac:dyDescent="0.25">
      <c r="A394" s="26"/>
      <c r="B394" s="26"/>
    </row>
    <row r="395" spans="1:2" ht="15.75" customHeight="1" x14ac:dyDescent="0.25">
      <c r="A395" s="26"/>
      <c r="B395" s="26"/>
    </row>
    <row r="396" spans="1:2" ht="15.75" customHeight="1" x14ac:dyDescent="0.25">
      <c r="A396" s="26"/>
      <c r="B396" s="26"/>
    </row>
    <row r="397" spans="1:2" ht="15.75" customHeight="1" x14ac:dyDescent="0.25">
      <c r="A397" s="26"/>
      <c r="B397" s="26"/>
    </row>
    <row r="398" spans="1:2" ht="15.75" customHeight="1" x14ac:dyDescent="0.25">
      <c r="A398" s="26"/>
      <c r="B398" s="26"/>
    </row>
    <row r="399" spans="1:2" ht="15.75" customHeight="1" x14ac:dyDescent="0.25">
      <c r="A399" s="26"/>
      <c r="B399" s="26"/>
    </row>
    <row r="400" spans="1:2" ht="15.75" customHeight="1" x14ac:dyDescent="0.25">
      <c r="A400" s="26"/>
      <c r="B400" s="26"/>
    </row>
    <row r="401" spans="1:2" ht="15.75" customHeight="1" x14ac:dyDescent="0.25">
      <c r="A401" s="26"/>
      <c r="B401" s="26"/>
    </row>
    <row r="402" spans="1:2" ht="15.75" customHeight="1" x14ac:dyDescent="0.25">
      <c r="A402" s="26"/>
      <c r="B402" s="26"/>
    </row>
    <row r="403" spans="1:2" ht="15.75" customHeight="1" x14ac:dyDescent="0.25">
      <c r="A403" s="26"/>
      <c r="B403" s="26"/>
    </row>
    <row r="404" spans="1:2" ht="15.75" customHeight="1" x14ac:dyDescent="0.25">
      <c r="A404" s="26"/>
      <c r="B404" s="26"/>
    </row>
    <row r="405" spans="1:2" ht="15.75" customHeight="1" x14ac:dyDescent="0.25">
      <c r="A405" s="26"/>
      <c r="B405" s="26"/>
    </row>
    <row r="406" spans="1:2" ht="15.75" customHeight="1" x14ac:dyDescent="0.25">
      <c r="A406" s="26"/>
      <c r="B406" s="26"/>
    </row>
    <row r="407" spans="1:2" ht="15.75" customHeight="1" x14ac:dyDescent="0.25">
      <c r="A407" s="26"/>
      <c r="B407" s="26"/>
    </row>
    <row r="408" spans="1:2" ht="15.75" customHeight="1" x14ac:dyDescent="0.25">
      <c r="A408" s="26"/>
      <c r="B408" s="26"/>
    </row>
    <row r="409" spans="1:2" ht="15.75" customHeight="1" x14ac:dyDescent="0.25">
      <c r="A409" s="26"/>
      <c r="B409" s="26"/>
    </row>
    <row r="410" spans="1:2" ht="15.75" customHeight="1" x14ac:dyDescent="0.25">
      <c r="A410" s="26"/>
      <c r="B410" s="26"/>
    </row>
    <row r="411" spans="1:2" ht="15.75" customHeight="1" x14ac:dyDescent="0.25">
      <c r="A411" s="26"/>
      <c r="B411" s="26"/>
    </row>
    <row r="412" spans="1:2" ht="15.75" customHeight="1" x14ac:dyDescent="0.25">
      <c r="A412" s="26"/>
      <c r="B412" s="26"/>
    </row>
    <row r="413" spans="1:2" ht="15.75" customHeight="1" x14ac:dyDescent="0.25">
      <c r="A413" s="26"/>
      <c r="B413" s="26"/>
    </row>
    <row r="414" spans="1:2" ht="15.75" customHeight="1" x14ac:dyDescent="0.25">
      <c r="A414" s="26"/>
      <c r="B414" s="26"/>
    </row>
    <row r="415" spans="1:2" ht="15.75" customHeight="1" x14ac:dyDescent="0.25">
      <c r="A415" s="26"/>
      <c r="B415" s="26"/>
    </row>
    <row r="416" spans="1:2" ht="15.75" customHeight="1" x14ac:dyDescent="0.25">
      <c r="A416" s="26"/>
      <c r="B416" s="26"/>
    </row>
    <row r="417" spans="1:2" ht="15.75" customHeight="1" x14ac:dyDescent="0.25">
      <c r="A417" s="26"/>
      <c r="B417" s="26"/>
    </row>
    <row r="418" spans="1:2" ht="15.75" customHeight="1" x14ac:dyDescent="0.25">
      <c r="A418" s="26"/>
      <c r="B418" s="26"/>
    </row>
    <row r="419" spans="1:2" ht="15.75" customHeight="1" x14ac:dyDescent="0.25">
      <c r="A419" s="26"/>
      <c r="B419" s="26"/>
    </row>
    <row r="420" spans="1:2" ht="15.75" customHeight="1" x14ac:dyDescent="0.25">
      <c r="A420" s="26"/>
      <c r="B420" s="26"/>
    </row>
    <row r="421" spans="1:2" ht="15.75" customHeight="1" x14ac:dyDescent="0.25">
      <c r="A421" s="26"/>
      <c r="B421" s="26"/>
    </row>
    <row r="422" spans="1:2" ht="15.75" customHeight="1" x14ac:dyDescent="0.25">
      <c r="A422" s="26"/>
      <c r="B422" s="26"/>
    </row>
    <row r="423" spans="1:2" ht="15.75" customHeight="1" x14ac:dyDescent="0.25">
      <c r="A423" s="26"/>
      <c r="B423" s="26"/>
    </row>
    <row r="424" spans="1:2" ht="15.75" customHeight="1" x14ac:dyDescent="0.25">
      <c r="A424" s="26"/>
      <c r="B424" s="26"/>
    </row>
    <row r="425" spans="1:2" ht="15.75" customHeight="1" x14ac:dyDescent="0.25">
      <c r="A425" s="26"/>
      <c r="B425" s="26"/>
    </row>
    <row r="426" spans="1:2" ht="15.75" customHeight="1" x14ac:dyDescent="0.25">
      <c r="A426" s="26"/>
      <c r="B426" s="26"/>
    </row>
    <row r="427" spans="1:2" ht="15.75" customHeight="1" x14ac:dyDescent="0.25">
      <c r="A427" s="26"/>
      <c r="B427" s="26"/>
    </row>
    <row r="428" spans="1:2" ht="15.75" customHeight="1" x14ac:dyDescent="0.25">
      <c r="A428" s="26"/>
      <c r="B428" s="26"/>
    </row>
    <row r="429" spans="1:2" ht="15.75" customHeight="1" x14ac:dyDescent="0.25">
      <c r="A429" s="26"/>
      <c r="B429" s="26"/>
    </row>
    <row r="430" spans="1:2" ht="15.75" customHeight="1" x14ac:dyDescent="0.25">
      <c r="A430" s="26"/>
      <c r="B430" s="26"/>
    </row>
    <row r="431" spans="1:2" ht="15.75" customHeight="1" x14ac:dyDescent="0.25">
      <c r="A431" s="26"/>
      <c r="B431" s="26"/>
    </row>
    <row r="432" spans="1:2" ht="15.75" customHeight="1" x14ac:dyDescent="0.25">
      <c r="A432" s="26"/>
      <c r="B432" s="26"/>
    </row>
    <row r="433" spans="1:2" ht="15.75" customHeight="1" x14ac:dyDescent="0.25">
      <c r="A433" s="26"/>
      <c r="B433" s="26"/>
    </row>
    <row r="434" spans="1:2" ht="15.75" customHeight="1" x14ac:dyDescent="0.25">
      <c r="A434" s="26"/>
      <c r="B434" s="26"/>
    </row>
    <row r="435" spans="1:2" ht="15.75" customHeight="1" x14ac:dyDescent="0.25">
      <c r="A435" s="26"/>
      <c r="B435" s="26"/>
    </row>
    <row r="436" spans="1:2" ht="15.75" customHeight="1" x14ac:dyDescent="0.25">
      <c r="A436" s="26"/>
      <c r="B436" s="26"/>
    </row>
    <row r="437" spans="1:2" ht="15.75" customHeight="1" x14ac:dyDescent="0.25">
      <c r="A437" s="26"/>
      <c r="B437" s="26"/>
    </row>
    <row r="438" spans="1:2" ht="15.75" customHeight="1" x14ac:dyDescent="0.25">
      <c r="A438" s="26"/>
      <c r="B438" s="26"/>
    </row>
    <row r="439" spans="1:2" ht="15.75" customHeight="1" x14ac:dyDescent="0.25">
      <c r="A439" s="26"/>
      <c r="B439" s="26"/>
    </row>
    <row r="440" spans="1:2" ht="15.75" customHeight="1" x14ac:dyDescent="0.25">
      <c r="A440" s="26"/>
      <c r="B440" s="26"/>
    </row>
    <row r="441" spans="1:2" ht="15.75" customHeight="1" x14ac:dyDescent="0.25">
      <c r="A441" s="26"/>
      <c r="B441" s="26"/>
    </row>
    <row r="442" spans="1:2" ht="15.75" customHeight="1" x14ac:dyDescent="0.25">
      <c r="A442" s="26"/>
      <c r="B442" s="26"/>
    </row>
    <row r="443" spans="1:2" ht="15.75" customHeight="1" x14ac:dyDescent="0.25">
      <c r="A443" s="26"/>
      <c r="B443" s="26"/>
    </row>
    <row r="444" spans="1:2" ht="15.75" customHeight="1" x14ac:dyDescent="0.25">
      <c r="A444" s="26"/>
      <c r="B444" s="26"/>
    </row>
    <row r="445" spans="1:2" ht="15.75" customHeight="1" x14ac:dyDescent="0.25">
      <c r="A445" s="26"/>
      <c r="B445" s="26"/>
    </row>
    <row r="446" spans="1:2" ht="15.75" customHeight="1" x14ac:dyDescent="0.25">
      <c r="A446" s="26"/>
      <c r="B446" s="26"/>
    </row>
    <row r="447" spans="1:2" ht="15.75" customHeight="1" x14ac:dyDescent="0.25">
      <c r="A447" s="26"/>
      <c r="B447" s="26"/>
    </row>
    <row r="448" spans="1:2" ht="15.75" customHeight="1" x14ac:dyDescent="0.25">
      <c r="A448" s="26"/>
      <c r="B448" s="26"/>
    </row>
    <row r="449" spans="1:2" ht="15.75" customHeight="1" x14ac:dyDescent="0.25">
      <c r="A449" s="26"/>
      <c r="B449" s="26"/>
    </row>
    <row r="450" spans="1:2" ht="15.75" customHeight="1" x14ac:dyDescent="0.25">
      <c r="A450" s="26"/>
      <c r="B450" s="26"/>
    </row>
    <row r="451" spans="1:2" ht="15.75" customHeight="1" x14ac:dyDescent="0.25">
      <c r="A451" s="26"/>
      <c r="B451" s="26"/>
    </row>
    <row r="452" spans="1:2" ht="15.75" customHeight="1" x14ac:dyDescent="0.25">
      <c r="A452" s="26"/>
      <c r="B452" s="26"/>
    </row>
    <row r="453" spans="1:2" ht="15.75" customHeight="1" x14ac:dyDescent="0.25">
      <c r="A453" s="26"/>
      <c r="B453" s="26"/>
    </row>
    <row r="454" spans="1:2" ht="15.75" customHeight="1" x14ac:dyDescent="0.25">
      <c r="A454" s="26"/>
      <c r="B454" s="26"/>
    </row>
    <row r="455" spans="1:2" ht="15.75" customHeight="1" x14ac:dyDescent="0.25">
      <c r="A455" s="26"/>
      <c r="B455" s="26"/>
    </row>
    <row r="456" spans="1:2" ht="15.75" customHeight="1" x14ac:dyDescent="0.25">
      <c r="A456" s="26"/>
      <c r="B456" s="26"/>
    </row>
    <row r="457" spans="1:2" ht="15.75" customHeight="1" x14ac:dyDescent="0.25">
      <c r="A457" s="26"/>
      <c r="B457" s="26"/>
    </row>
    <row r="458" spans="1:2" ht="15.75" customHeight="1" x14ac:dyDescent="0.25">
      <c r="A458" s="26"/>
      <c r="B458" s="26"/>
    </row>
    <row r="459" spans="1:2" ht="15.75" customHeight="1" x14ac:dyDescent="0.25">
      <c r="A459" s="26"/>
      <c r="B459" s="26"/>
    </row>
    <row r="460" spans="1:2" ht="15.75" customHeight="1" x14ac:dyDescent="0.25">
      <c r="A460" s="26"/>
      <c r="B460" s="26"/>
    </row>
    <row r="461" spans="1:2" ht="15.75" customHeight="1" x14ac:dyDescent="0.25">
      <c r="A461" s="26"/>
      <c r="B461" s="26"/>
    </row>
    <row r="462" spans="1:2" ht="15.75" customHeight="1" x14ac:dyDescent="0.25">
      <c r="A462" s="26"/>
      <c r="B462" s="26"/>
    </row>
    <row r="463" spans="1:2" ht="15.75" customHeight="1" x14ac:dyDescent="0.25">
      <c r="A463" s="26"/>
      <c r="B463" s="26"/>
    </row>
    <row r="464" spans="1:2" ht="15.75" customHeight="1" x14ac:dyDescent="0.25">
      <c r="A464" s="26"/>
      <c r="B464" s="26"/>
    </row>
    <row r="465" spans="1:2" ht="15.75" customHeight="1" x14ac:dyDescent="0.25">
      <c r="A465" s="26"/>
      <c r="B465" s="26"/>
    </row>
    <row r="466" spans="1:2" ht="15.75" customHeight="1" x14ac:dyDescent="0.25">
      <c r="A466" s="26"/>
      <c r="B466" s="26"/>
    </row>
    <row r="467" spans="1:2" ht="15.75" customHeight="1" x14ac:dyDescent="0.25">
      <c r="A467" s="26"/>
      <c r="B467" s="26"/>
    </row>
    <row r="468" spans="1:2" ht="15.75" customHeight="1" x14ac:dyDescent="0.25">
      <c r="A468" s="26"/>
      <c r="B468" s="26"/>
    </row>
    <row r="469" spans="1:2" ht="15.75" customHeight="1" x14ac:dyDescent="0.25">
      <c r="A469" s="26"/>
      <c r="B469" s="26"/>
    </row>
    <row r="470" spans="1:2" ht="15.75" customHeight="1" x14ac:dyDescent="0.25">
      <c r="A470" s="26"/>
      <c r="B470" s="26"/>
    </row>
    <row r="471" spans="1:2" ht="15.75" customHeight="1" x14ac:dyDescent="0.25">
      <c r="A471" s="26"/>
      <c r="B471" s="26"/>
    </row>
    <row r="472" spans="1:2" ht="15.75" customHeight="1" x14ac:dyDescent="0.25">
      <c r="A472" s="26"/>
      <c r="B472" s="26"/>
    </row>
    <row r="473" spans="1:2" ht="15.75" customHeight="1" x14ac:dyDescent="0.25">
      <c r="A473" s="26"/>
      <c r="B473" s="26"/>
    </row>
    <row r="474" spans="1:2" ht="15.75" customHeight="1" x14ac:dyDescent="0.25">
      <c r="A474" s="26"/>
      <c r="B474" s="26"/>
    </row>
    <row r="475" spans="1:2" ht="15.75" customHeight="1" x14ac:dyDescent="0.25">
      <c r="A475" s="26"/>
      <c r="B475" s="26"/>
    </row>
    <row r="476" spans="1:2" ht="15.75" customHeight="1" x14ac:dyDescent="0.25">
      <c r="A476" s="26"/>
      <c r="B476" s="26"/>
    </row>
    <row r="477" spans="1:2" ht="15.75" customHeight="1" x14ac:dyDescent="0.25">
      <c r="A477" s="26"/>
      <c r="B477" s="26"/>
    </row>
    <row r="478" spans="1:2" ht="15.75" customHeight="1" x14ac:dyDescent="0.25">
      <c r="A478" s="26"/>
      <c r="B478" s="26"/>
    </row>
    <row r="479" spans="1:2" ht="15.75" customHeight="1" x14ac:dyDescent="0.25">
      <c r="A479" s="26"/>
      <c r="B479" s="26"/>
    </row>
    <row r="480" spans="1:2" ht="15.75" customHeight="1" x14ac:dyDescent="0.25">
      <c r="A480" s="26"/>
      <c r="B480" s="26"/>
    </row>
    <row r="481" spans="1:2" ht="15.75" customHeight="1" x14ac:dyDescent="0.25">
      <c r="A481" s="26"/>
      <c r="B481" s="26"/>
    </row>
    <row r="482" spans="1:2" ht="15.75" customHeight="1" x14ac:dyDescent="0.25">
      <c r="A482" s="26"/>
      <c r="B482" s="26"/>
    </row>
    <row r="483" spans="1:2" ht="15.75" customHeight="1" x14ac:dyDescent="0.25">
      <c r="A483" s="26"/>
      <c r="B483" s="26"/>
    </row>
    <row r="484" spans="1:2" ht="15.75" customHeight="1" x14ac:dyDescent="0.25">
      <c r="A484" s="26"/>
      <c r="B484" s="26"/>
    </row>
    <row r="485" spans="1:2" ht="15.75" customHeight="1" x14ac:dyDescent="0.25">
      <c r="A485" s="26"/>
      <c r="B485" s="26"/>
    </row>
    <row r="486" spans="1:2" ht="15.75" customHeight="1" x14ac:dyDescent="0.25">
      <c r="A486" s="26"/>
      <c r="B486" s="26"/>
    </row>
    <row r="487" spans="1:2" ht="15.75" customHeight="1" x14ac:dyDescent="0.25">
      <c r="A487" s="26"/>
      <c r="B487" s="26"/>
    </row>
    <row r="488" spans="1:2" ht="15.75" customHeight="1" x14ac:dyDescent="0.25">
      <c r="A488" s="26"/>
      <c r="B488" s="26"/>
    </row>
    <row r="489" spans="1:2" ht="15.75" customHeight="1" x14ac:dyDescent="0.25">
      <c r="A489" s="26"/>
      <c r="B489" s="26"/>
    </row>
    <row r="490" spans="1:2" ht="15.75" customHeight="1" x14ac:dyDescent="0.25">
      <c r="A490" s="26"/>
      <c r="B490" s="26"/>
    </row>
    <row r="491" spans="1:2" ht="15.75" customHeight="1" x14ac:dyDescent="0.25">
      <c r="A491" s="26"/>
      <c r="B491" s="26"/>
    </row>
    <row r="492" spans="1:2" ht="15.75" customHeight="1" x14ac:dyDescent="0.25">
      <c r="A492" s="26"/>
      <c r="B492" s="26"/>
    </row>
    <row r="493" spans="1:2" ht="15.75" customHeight="1" x14ac:dyDescent="0.25">
      <c r="A493" s="26"/>
      <c r="B493" s="26"/>
    </row>
    <row r="494" spans="1:2" ht="15.75" customHeight="1" x14ac:dyDescent="0.25">
      <c r="A494" s="26"/>
      <c r="B494" s="26"/>
    </row>
    <row r="495" spans="1:2" ht="15.75" customHeight="1" x14ac:dyDescent="0.25">
      <c r="A495" s="26"/>
      <c r="B495" s="26"/>
    </row>
    <row r="496" spans="1:2" ht="15.75" customHeight="1" x14ac:dyDescent="0.25">
      <c r="A496" s="26"/>
      <c r="B496" s="26"/>
    </row>
    <row r="497" spans="1:2" ht="15.75" customHeight="1" x14ac:dyDescent="0.25">
      <c r="A497" s="26"/>
      <c r="B497" s="26"/>
    </row>
    <row r="498" spans="1:2" ht="15.75" customHeight="1" x14ac:dyDescent="0.25">
      <c r="A498" s="26"/>
      <c r="B498" s="26"/>
    </row>
    <row r="499" spans="1:2" ht="15.75" customHeight="1" x14ac:dyDescent="0.25">
      <c r="A499" s="26"/>
      <c r="B499" s="26"/>
    </row>
    <row r="500" spans="1:2" ht="15.75" customHeight="1" x14ac:dyDescent="0.25">
      <c r="A500" s="26"/>
      <c r="B500" s="26"/>
    </row>
    <row r="501" spans="1:2" ht="15.75" customHeight="1" x14ac:dyDescent="0.25">
      <c r="A501" s="26"/>
      <c r="B501" s="26"/>
    </row>
    <row r="502" spans="1:2" ht="15.75" customHeight="1" x14ac:dyDescent="0.25">
      <c r="A502" s="26"/>
      <c r="B502" s="26"/>
    </row>
    <row r="503" spans="1:2" ht="15.75" customHeight="1" x14ac:dyDescent="0.25">
      <c r="A503" s="26"/>
      <c r="B503" s="26"/>
    </row>
    <row r="504" spans="1:2" ht="15.75" customHeight="1" x14ac:dyDescent="0.25">
      <c r="A504" s="26"/>
      <c r="B504" s="26"/>
    </row>
    <row r="505" spans="1:2" ht="15.75" customHeight="1" x14ac:dyDescent="0.25">
      <c r="A505" s="26"/>
      <c r="B505" s="26"/>
    </row>
    <row r="506" spans="1:2" ht="15.75" customHeight="1" x14ac:dyDescent="0.25">
      <c r="A506" s="26"/>
      <c r="B506" s="26"/>
    </row>
    <row r="507" spans="1:2" ht="15.75" customHeight="1" x14ac:dyDescent="0.25">
      <c r="A507" s="26"/>
      <c r="B507" s="26"/>
    </row>
    <row r="508" spans="1:2" ht="15.75" customHeight="1" x14ac:dyDescent="0.25">
      <c r="A508" s="26"/>
      <c r="B508" s="26"/>
    </row>
    <row r="509" spans="1:2" ht="15.75" customHeight="1" x14ac:dyDescent="0.25">
      <c r="A509" s="26"/>
      <c r="B509" s="26"/>
    </row>
    <row r="510" spans="1:2" ht="15.75" customHeight="1" x14ac:dyDescent="0.25">
      <c r="A510" s="26"/>
      <c r="B510" s="26"/>
    </row>
    <row r="511" spans="1:2" ht="15.75" customHeight="1" x14ac:dyDescent="0.25">
      <c r="A511" s="26"/>
      <c r="B511" s="26"/>
    </row>
    <row r="512" spans="1:2" ht="15.75" customHeight="1" x14ac:dyDescent="0.25">
      <c r="A512" s="26"/>
      <c r="B512" s="26"/>
    </row>
    <row r="513" spans="1:2" ht="15.75" customHeight="1" x14ac:dyDescent="0.25">
      <c r="A513" s="26"/>
      <c r="B513" s="26"/>
    </row>
    <row r="514" spans="1:2" ht="15.75" customHeight="1" x14ac:dyDescent="0.25">
      <c r="A514" s="26"/>
      <c r="B514" s="26"/>
    </row>
    <row r="515" spans="1:2" ht="15.75" customHeight="1" x14ac:dyDescent="0.25">
      <c r="A515" s="26"/>
      <c r="B515" s="26"/>
    </row>
    <row r="516" spans="1:2" ht="15.75" customHeight="1" x14ac:dyDescent="0.25">
      <c r="A516" s="26"/>
      <c r="B516" s="26"/>
    </row>
    <row r="517" spans="1:2" ht="15.75" customHeight="1" x14ac:dyDescent="0.25">
      <c r="A517" s="26"/>
      <c r="B517" s="26"/>
    </row>
    <row r="518" spans="1:2" ht="15.75" customHeight="1" x14ac:dyDescent="0.25">
      <c r="A518" s="26"/>
      <c r="B518" s="26"/>
    </row>
    <row r="519" spans="1:2" ht="15.75" customHeight="1" x14ac:dyDescent="0.25">
      <c r="A519" s="26"/>
      <c r="B519" s="26"/>
    </row>
    <row r="520" spans="1:2" ht="15.75" customHeight="1" x14ac:dyDescent="0.25">
      <c r="A520" s="26"/>
      <c r="B520" s="26"/>
    </row>
    <row r="521" spans="1:2" ht="15.75" customHeight="1" x14ac:dyDescent="0.25">
      <c r="A521" s="26"/>
      <c r="B521" s="26"/>
    </row>
    <row r="522" spans="1:2" ht="15.75" customHeight="1" x14ac:dyDescent="0.25">
      <c r="A522" s="26"/>
      <c r="B522" s="26"/>
    </row>
    <row r="523" spans="1:2" ht="15.75" customHeight="1" x14ac:dyDescent="0.25">
      <c r="A523" s="26"/>
      <c r="B523" s="26"/>
    </row>
    <row r="524" spans="1:2" ht="15.75" customHeight="1" x14ac:dyDescent="0.25">
      <c r="A524" s="26"/>
      <c r="B524" s="26"/>
    </row>
    <row r="525" spans="1:2" ht="15.75" customHeight="1" x14ac:dyDescent="0.25">
      <c r="A525" s="26"/>
      <c r="B525" s="26"/>
    </row>
    <row r="526" spans="1:2" ht="15.75" customHeight="1" x14ac:dyDescent="0.25">
      <c r="A526" s="26"/>
      <c r="B526" s="26"/>
    </row>
    <row r="527" spans="1:2" ht="15.75" customHeight="1" x14ac:dyDescent="0.25">
      <c r="A527" s="26"/>
      <c r="B527" s="26"/>
    </row>
    <row r="528" spans="1:2" ht="15.75" customHeight="1" x14ac:dyDescent="0.25">
      <c r="A528" s="26"/>
      <c r="B528" s="26"/>
    </row>
    <row r="529" spans="1:2" ht="15.75" customHeight="1" x14ac:dyDescent="0.25">
      <c r="A529" s="26"/>
      <c r="B529" s="26"/>
    </row>
    <row r="530" spans="1:2" ht="15.75" customHeight="1" x14ac:dyDescent="0.25">
      <c r="A530" s="26"/>
      <c r="B530" s="26"/>
    </row>
    <row r="531" spans="1:2" ht="15.75" customHeight="1" x14ac:dyDescent="0.25">
      <c r="A531" s="26"/>
      <c r="B531" s="26"/>
    </row>
    <row r="532" spans="1:2" ht="15.75" customHeight="1" x14ac:dyDescent="0.25">
      <c r="A532" s="26"/>
      <c r="B532" s="26"/>
    </row>
    <row r="533" spans="1:2" ht="15.75" customHeight="1" x14ac:dyDescent="0.25">
      <c r="A533" s="26"/>
      <c r="B533" s="26"/>
    </row>
    <row r="534" spans="1:2" ht="15.75" customHeight="1" x14ac:dyDescent="0.25">
      <c r="A534" s="26"/>
      <c r="B534" s="26"/>
    </row>
    <row r="535" spans="1:2" ht="15.75" customHeight="1" x14ac:dyDescent="0.25">
      <c r="A535" s="26"/>
      <c r="B535" s="26"/>
    </row>
    <row r="536" spans="1:2" ht="15.75" customHeight="1" x14ac:dyDescent="0.25">
      <c r="A536" s="26"/>
      <c r="B536" s="26"/>
    </row>
    <row r="537" spans="1:2" ht="15.75" customHeight="1" x14ac:dyDescent="0.25">
      <c r="A537" s="26"/>
      <c r="B537" s="26"/>
    </row>
    <row r="538" spans="1:2" ht="15.75" customHeight="1" x14ac:dyDescent="0.25">
      <c r="A538" s="26"/>
      <c r="B538" s="26"/>
    </row>
    <row r="539" spans="1:2" ht="15.75" customHeight="1" x14ac:dyDescent="0.25">
      <c r="A539" s="26"/>
      <c r="B539" s="26"/>
    </row>
    <row r="540" spans="1:2" ht="15.75" customHeight="1" x14ac:dyDescent="0.25">
      <c r="A540" s="26"/>
      <c r="B540" s="26"/>
    </row>
    <row r="541" spans="1:2" ht="15.75" customHeight="1" x14ac:dyDescent="0.25">
      <c r="A541" s="26"/>
      <c r="B541" s="26"/>
    </row>
    <row r="542" spans="1:2" ht="15.75" customHeight="1" x14ac:dyDescent="0.25">
      <c r="A542" s="26"/>
      <c r="B542" s="26"/>
    </row>
    <row r="543" spans="1:2" ht="15.75" customHeight="1" x14ac:dyDescent="0.25">
      <c r="A543" s="26"/>
      <c r="B543" s="26"/>
    </row>
    <row r="544" spans="1:2" ht="15.75" customHeight="1" x14ac:dyDescent="0.25">
      <c r="A544" s="26"/>
      <c r="B544" s="26"/>
    </row>
    <row r="545" spans="1:2" ht="15.75" customHeight="1" x14ac:dyDescent="0.25">
      <c r="A545" s="26"/>
      <c r="B545" s="26"/>
    </row>
    <row r="546" spans="1:2" ht="15.75" customHeight="1" x14ac:dyDescent="0.25">
      <c r="A546" s="26"/>
      <c r="B546" s="26"/>
    </row>
    <row r="547" spans="1:2" ht="15.75" customHeight="1" x14ac:dyDescent="0.25">
      <c r="A547" s="26"/>
      <c r="B547" s="26"/>
    </row>
    <row r="548" spans="1:2" ht="15.75" customHeight="1" x14ac:dyDescent="0.25">
      <c r="A548" s="26"/>
      <c r="B548" s="26"/>
    </row>
    <row r="549" spans="1:2" ht="15.75" customHeight="1" x14ac:dyDescent="0.25">
      <c r="A549" s="26"/>
      <c r="B549" s="26"/>
    </row>
    <row r="550" spans="1:2" ht="15.75" customHeight="1" x14ac:dyDescent="0.25">
      <c r="A550" s="26"/>
      <c r="B550" s="26"/>
    </row>
    <row r="551" spans="1:2" ht="15.75" customHeight="1" x14ac:dyDescent="0.25">
      <c r="A551" s="26"/>
      <c r="B551" s="26"/>
    </row>
    <row r="552" spans="1:2" ht="15.75" customHeight="1" x14ac:dyDescent="0.25">
      <c r="A552" s="26"/>
      <c r="B552" s="26"/>
    </row>
    <row r="553" spans="1:2" ht="15.75" customHeight="1" x14ac:dyDescent="0.25">
      <c r="A553" s="26"/>
      <c r="B553" s="26"/>
    </row>
    <row r="554" spans="1:2" ht="15.75" customHeight="1" x14ac:dyDescent="0.25">
      <c r="A554" s="26"/>
      <c r="B554" s="26"/>
    </row>
    <row r="555" spans="1:2" ht="15.75" customHeight="1" x14ac:dyDescent="0.25">
      <c r="A555" s="26"/>
      <c r="B555" s="26"/>
    </row>
    <row r="556" spans="1:2" ht="15.75" customHeight="1" x14ac:dyDescent="0.25">
      <c r="A556" s="26"/>
      <c r="B556" s="26"/>
    </row>
    <row r="557" spans="1:2" ht="15.75" customHeight="1" x14ac:dyDescent="0.25">
      <c r="A557" s="26"/>
      <c r="B557" s="26"/>
    </row>
    <row r="558" spans="1:2" ht="15.75" customHeight="1" x14ac:dyDescent="0.25">
      <c r="A558" s="26"/>
      <c r="B558" s="26"/>
    </row>
    <row r="559" spans="1:2" ht="15.75" customHeight="1" x14ac:dyDescent="0.25">
      <c r="A559" s="26"/>
      <c r="B559" s="26"/>
    </row>
    <row r="560" spans="1:2" ht="15.75" customHeight="1" x14ac:dyDescent="0.25">
      <c r="A560" s="26"/>
      <c r="B560" s="26"/>
    </row>
    <row r="561" spans="1:2" ht="15.75" customHeight="1" x14ac:dyDescent="0.25">
      <c r="A561" s="26"/>
      <c r="B561" s="26"/>
    </row>
    <row r="562" spans="1:2" ht="15.75" customHeight="1" x14ac:dyDescent="0.25">
      <c r="A562" s="26"/>
      <c r="B562" s="26"/>
    </row>
    <row r="563" spans="1:2" ht="15.75" customHeight="1" x14ac:dyDescent="0.25">
      <c r="A563" s="26"/>
      <c r="B563" s="26"/>
    </row>
    <row r="564" spans="1:2" ht="15.75" customHeight="1" x14ac:dyDescent="0.25">
      <c r="A564" s="26"/>
      <c r="B564" s="26"/>
    </row>
    <row r="565" spans="1:2" ht="15.75" customHeight="1" x14ac:dyDescent="0.25">
      <c r="A565" s="26"/>
      <c r="B565" s="26"/>
    </row>
    <row r="566" spans="1:2" ht="15.75" customHeight="1" x14ac:dyDescent="0.25">
      <c r="A566" s="26"/>
      <c r="B566" s="26"/>
    </row>
    <row r="567" spans="1:2" ht="15.75" customHeight="1" x14ac:dyDescent="0.25">
      <c r="A567" s="26"/>
      <c r="B567" s="26"/>
    </row>
    <row r="568" spans="1:2" ht="15.75" customHeight="1" x14ac:dyDescent="0.25">
      <c r="A568" s="26"/>
      <c r="B568" s="26"/>
    </row>
    <row r="569" spans="1:2" ht="15.75" customHeight="1" x14ac:dyDescent="0.25">
      <c r="A569" s="26"/>
      <c r="B569" s="26"/>
    </row>
    <row r="570" spans="1:2" ht="15.75" customHeight="1" x14ac:dyDescent="0.25">
      <c r="A570" s="26"/>
      <c r="B570" s="26"/>
    </row>
    <row r="571" spans="1:2" ht="15.75" customHeight="1" x14ac:dyDescent="0.25">
      <c r="A571" s="26"/>
      <c r="B571" s="26"/>
    </row>
    <row r="572" spans="1:2" ht="15.75" customHeight="1" x14ac:dyDescent="0.25">
      <c r="A572" s="26"/>
      <c r="B572" s="26"/>
    </row>
    <row r="573" spans="1:2" ht="15.75" customHeight="1" x14ac:dyDescent="0.25">
      <c r="A573" s="26"/>
      <c r="B573" s="26"/>
    </row>
    <row r="574" spans="1:2" ht="15.75" customHeight="1" x14ac:dyDescent="0.25">
      <c r="A574" s="26"/>
      <c r="B574" s="26"/>
    </row>
    <row r="575" spans="1:2" ht="15.75" customHeight="1" x14ac:dyDescent="0.25">
      <c r="A575" s="26"/>
      <c r="B575" s="26"/>
    </row>
    <row r="576" spans="1:2" ht="15.75" customHeight="1" x14ac:dyDescent="0.25">
      <c r="A576" s="26"/>
      <c r="B576" s="26"/>
    </row>
    <row r="577" spans="1:2" ht="15.75" customHeight="1" x14ac:dyDescent="0.25">
      <c r="A577" s="26"/>
      <c r="B577" s="26"/>
    </row>
    <row r="578" spans="1:2" ht="15.75" customHeight="1" x14ac:dyDescent="0.25">
      <c r="A578" s="26"/>
      <c r="B578" s="26"/>
    </row>
    <row r="579" spans="1:2" ht="15.75" customHeight="1" x14ac:dyDescent="0.25">
      <c r="A579" s="26"/>
      <c r="B579" s="26"/>
    </row>
    <row r="580" spans="1:2" ht="15.75" customHeight="1" x14ac:dyDescent="0.25">
      <c r="A580" s="26"/>
      <c r="B580" s="26"/>
    </row>
    <row r="581" spans="1:2" ht="15.75" customHeight="1" x14ac:dyDescent="0.25">
      <c r="A581" s="26"/>
      <c r="B581" s="26"/>
    </row>
    <row r="582" spans="1:2" ht="15.75" customHeight="1" x14ac:dyDescent="0.25">
      <c r="A582" s="26"/>
      <c r="B582" s="26"/>
    </row>
    <row r="583" spans="1:2" ht="15.75" customHeight="1" x14ac:dyDescent="0.25">
      <c r="A583" s="26"/>
      <c r="B583" s="26"/>
    </row>
    <row r="584" spans="1:2" ht="15.75" customHeight="1" x14ac:dyDescent="0.25">
      <c r="A584" s="26"/>
      <c r="B584" s="26"/>
    </row>
    <row r="585" spans="1:2" ht="15.75" customHeight="1" x14ac:dyDescent="0.25">
      <c r="A585" s="26"/>
      <c r="B585" s="26"/>
    </row>
    <row r="586" spans="1:2" ht="15.75" customHeight="1" x14ac:dyDescent="0.25">
      <c r="A586" s="26"/>
      <c r="B586" s="26"/>
    </row>
    <row r="587" spans="1:2" ht="15.75" customHeight="1" x14ac:dyDescent="0.25">
      <c r="A587" s="26"/>
      <c r="B587" s="26"/>
    </row>
    <row r="588" spans="1:2" ht="15.75" customHeight="1" x14ac:dyDescent="0.25">
      <c r="A588" s="26"/>
      <c r="B588" s="26"/>
    </row>
    <row r="589" spans="1:2" ht="15.75" customHeight="1" x14ac:dyDescent="0.25">
      <c r="A589" s="26"/>
      <c r="B589" s="26"/>
    </row>
    <row r="590" spans="1:2" ht="15.75" customHeight="1" x14ac:dyDescent="0.25">
      <c r="A590" s="26"/>
      <c r="B590" s="26"/>
    </row>
    <row r="591" spans="1:2" ht="15.75" customHeight="1" x14ac:dyDescent="0.25">
      <c r="A591" s="26"/>
      <c r="B591" s="26"/>
    </row>
    <row r="592" spans="1:2" ht="15.75" customHeight="1" x14ac:dyDescent="0.25">
      <c r="A592" s="26"/>
      <c r="B592" s="26"/>
    </row>
    <row r="593" spans="1:2" ht="15.75" customHeight="1" x14ac:dyDescent="0.25">
      <c r="A593" s="26"/>
      <c r="B593" s="26"/>
    </row>
    <row r="594" spans="1:2" ht="15.75" customHeight="1" x14ac:dyDescent="0.25">
      <c r="A594" s="26"/>
      <c r="B594" s="26"/>
    </row>
    <row r="595" spans="1:2" ht="15.75" customHeight="1" x14ac:dyDescent="0.25">
      <c r="A595" s="26"/>
      <c r="B595" s="26"/>
    </row>
    <row r="596" spans="1:2" ht="15.75" customHeight="1" x14ac:dyDescent="0.25">
      <c r="A596" s="26"/>
      <c r="B596" s="26"/>
    </row>
    <row r="597" spans="1:2" ht="15.75" customHeight="1" x14ac:dyDescent="0.25">
      <c r="A597" s="26"/>
      <c r="B597" s="26"/>
    </row>
    <row r="598" spans="1:2" ht="15.75" customHeight="1" x14ac:dyDescent="0.25">
      <c r="A598" s="26"/>
      <c r="B598" s="26"/>
    </row>
    <row r="599" spans="1:2" ht="15.75" customHeight="1" x14ac:dyDescent="0.25">
      <c r="A599" s="26"/>
      <c r="B599" s="26"/>
    </row>
    <row r="600" spans="1:2" ht="15.75" customHeight="1" x14ac:dyDescent="0.25">
      <c r="A600" s="26"/>
      <c r="B600" s="26"/>
    </row>
    <row r="601" spans="1:2" ht="15.75" customHeight="1" x14ac:dyDescent="0.25">
      <c r="A601" s="26"/>
      <c r="B601" s="26"/>
    </row>
    <row r="602" spans="1:2" ht="15.75" customHeight="1" x14ac:dyDescent="0.25">
      <c r="A602" s="26"/>
      <c r="B602" s="26"/>
    </row>
    <row r="603" spans="1:2" ht="15.75" customHeight="1" x14ac:dyDescent="0.25">
      <c r="A603" s="26"/>
      <c r="B603" s="26"/>
    </row>
    <row r="604" spans="1:2" ht="15.75" customHeight="1" x14ac:dyDescent="0.25">
      <c r="A604" s="26"/>
      <c r="B604" s="26"/>
    </row>
    <row r="605" spans="1:2" ht="15.75" customHeight="1" x14ac:dyDescent="0.25">
      <c r="A605" s="26"/>
      <c r="B605" s="26"/>
    </row>
    <row r="606" spans="1:2" ht="15.75" customHeight="1" x14ac:dyDescent="0.25">
      <c r="A606" s="26"/>
      <c r="B606" s="26"/>
    </row>
    <row r="607" spans="1:2" ht="15.75" customHeight="1" x14ac:dyDescent="0.25">
      <c r="A607" s="26"/>
      <c r="B607" s="26"/>
    </row>
    <row r="608" spans="1:2" ht="15.75" customHeight="1" x14ac:dyDescent="0.25">
      <c r="A608" s="26"/>
      <c r="B608" s="26"/>
    </row>
    <row r="609" spans="1:2" ht="15.75" customHeight="1" x14ac:dyDescent="0.25">
      <c r="A609" s="26"/>
      <c r="B609" s="26"/>
    </row>
    <row r="610" spans="1:2" ht="15.75" customHeight="1" x14ac:dyDescent="0.25">
      <c r="A610" s="26"/>
      <c r="B610" s="26"/>
    </row>
    <row r="611" spans="1:2" ht="15.75" customHeight="1" x14ac:dyDescent="0.25">
      <c r="A611" s="26"/>
      <c r="B611" s="26"/>
    </row>
    <row r="612" spans="1:2" ht="15.75" customHeight="1" x14ac:dyDescent="0.25">
      <c r="A612" s="26"/>
      <c r="B612" s="26"/>
    </row>
    <row r="613" spans="1:2" ht="15.75" customHeight="1" x14ac:dyDescent="0.25">
      <c r="A613" s="26"/>
      <c r="B613" s="26"/>
    </row>
    <row r="614" spans="1:2" ht="15.75" customHeight="1" x14ac:dyDescent="0.25">
      <c r="A614" s="26"/>
      <c r="B614" s="26"/>
    </row>
    <row r="615" spans="1:2" ht="15.75" customHeight="1" x14ac:dyDescent="0.25">
      <c r="A615" s="26"/>
      <c r="B615" s="26"/>
    </row>
    <row r="616" spans="1:2" ht="15.75" customHeight="1" x14ac:dyDescent="0.25">
      <c r="A616" s="26"/>
      <c r="B616" s="26"/>
    </row>
    <row r="617" spans="1:2" ht="15.75" customHeight="1" x14ac:dyDescent="0.25">
      <c r="A617" s="26"/>
      <c r="B617" s="26"/>
    </row>
    <row r="618" spans="1:2" ht="15.75" customHeight="1" x14ac:dyDescent="0.25">
      <c r="A618" s="26"/>
      <c r="B618" s="26"/>
    </row>
    <row r="619" spans="1:2" ht="15.75" customHeight="1" x14ac:dyDescent="0.25">
      <c r="A619" s="26"/>
      <c r="B619" s="26"/>
    </row>
    <row r="620" spans="1:2" ht="15.75" customHeight="1" x14ac:dyDescent="0.25">
      <c r="A620" s="26"/>
      <c r="B620" s="26"/>
    </row>
    <row r="621" spans="1:2" ht="15.75" customHeight="1" x14ac:dyDescent="0.25">
      <c r="A621" s="26"/>
      <c r="B621" s="26"/>
    </row>
    <row r="622" spans="1:2" ht="15.75" customHeight="1" x14ac:dyDescent="0.25">
      <c r="A622" s="26"/>
      <c r="B622" s="26"/>
    </row>
    <row r="623" spans="1:2" ht="15.75" customHeight="1" x14ac:dyDescent="0.25">
      <c r="A623" s="26"/>
      <c r="B623" s="26"/>
    </row>
    <row r="624" spans="1:2" ht="15.75" customHeight="1" x14ac:dyDescent="0.25">
      <c r="A624" s="26"/>
      <c r="B624" s="26"/>
    </row>
    <row r="625" spans="1:2" ht="15.75" customHeight="1" x14ac:dyDescent="0.25">
      <c r="A625" s="26"/>
      <c r="B625" s="26"/>
    </row>
    <row r="626" spans="1:2" ht="15.75" customHeight="1" x14ac:dyDescent="0.25">
      <c r="A626" s="26"/>
      <c r="B626" s="26"/>
    </row>
    <row r="627" spans="1:2" ht="15.75" customHeight="1" x14ac:dyDescent="0.25">
      <c r="A627" s="26"/>
      <c r="B627" s="26"/>
    </row>
    <row r="628" spans="1:2" ht="15.75" customHeight="1" x14ac:dyDescent="0.25">
      <c r="A628" s="26"/>
      <c r="B628" s="26"/>
    </row>
    <row r="629" spans="1:2" ht="15.75" customHeight="1" x14ac:dyDescent="0.25">
      <c r="A629" s="26"/>
      <c r="B629" s="26"/>
    </row>
    <row r="630" spans="1:2" ht="15.75" customHeight="1" x14ac:dyDescent="0.25">
      <c r="A630" s="26"/>
      <c r="B630" s="26"/>
    </row>
    <row r="631" spans="1:2" ht="15.75" customHeight="1" x14ac:dyDescent="0.25">
      <c r="A631" s="26"/>
      <c r="B631" s="26"/>
    </row>
    <row r="632" spans="1:2" ht="15.75" customHeight="1" x14ac:dyDescent="0.25">
      <c r="A632" s="26"/>
      <c r="B632" s="26"/>
    </row>
    <row r="633" spans="1:2" ht="15.75" customHeight="1" x14ac:dyDescent="0.25">
      <c r="A633" s="26"/>
      <c r="B633" s="26"/>
    </row>
    <row r="634" spans="1:2" ht="15.75" customHeight="1" x14ac:dyDescent="0.25">
      <c r="A634" s="26"/>
      <c r="B634" s="26"/>
    </row>
    <row r="635" spans="1:2" ht="15.75" customHeight="1" x14ac:dyDescent="0.25">
      <c r="A635" s="26"/>
      <c r="B635" s="26"/>
    </row>
    <row r="636" spans="1:2" ht="15.75" customHeight="1" x14ac:dyDescent="0.25">
      <c r="A636" s="26"/>
      <c r="B636" s="26"/>
    </row>
    <row r="637" spans="1:2" ht="15.75" customHeight="1" x14ac:dyDescent="0.25">
      <c r="A637" s="26"/>
      <c r="B637" s="26"/>
    </row>
    <row r="638" spans="1:2" ht="15.75" customHeight="1" x14ac:dyDescent="0.25">
      <c r="A638" s="26"/>
      <c r="B638" s="26"/>
    </row>
    <row r="639" spans="1:2" ht="15.75" customHeight="1" x14ac:dyDescent="0.25">
      <c r="A639" s="26"/>
      <c r="B639" s="26"/>
    </row>
    <row r="640" spans="1:2" ht="15.75" customHeight="1" x14ac:dyDescent="0.25">
      <c r="A640" s="26"/>
      <c r="B640" s="26"/>
    </row>
    <row r="641" spans="1:2" ht="15.75" customHeight="1" x14ac:dyDescent="0.25">
      <c r="A641" s="26"/>
      <c r="B641" s="26"/>
    </row>
    <row r="642" spans="1:2" ht="15.75" customHeight="1" x14ac:dyDescent="0.25">
      <c r="A642" s="26"/>
      <c r="B642" s="26"/>
    </row>
    <row r="643" spans="1:2" ht="15.75" customHeight="1" x14ac:dyDescent="0.25">
      <c r="A643" s="26"/>
      <c r="B643" s="26"/>
    </row>
    <row r="644" spans="1:2" ht="15.75" customHeight="1" x14ac:dyDescent="0.25">
      <c r="A644" s="26"/>
      <c r="B644" s="26"/>
    </row>
    <row r="645" spans="1:2" ht="15.75" customHeight="1" x14ac:dyDescent="0.25">
      <c r="A645" s="26"/>
      <c r="B645" s="26"/>
    </row>
    <row r="646" spans="1:2" ht="15.75" customHeight="1" x14ac:dyDescent="0.25">
      <c r="A646" s="26"/>
      <c r="B646" s="26"/>
    </row>
    <row r="647" spans="1:2" ht="15.75" customHeight="1" x14ac:dyDescent="0.25">
      <c r="A647" s="26"/>
      <c r="B647" s="26"/>
    </row>
    <row r="648" spans="1:2" ht="15.75" customHeight="1" x14ac:dyDescent="0.25">
      <c r="A648" s="26"/>
      <c r="B648" s="26"/>
    </row>
    <row r="649" spans="1:2" ht="15.75" customHeight="1" x14ac:dyDescent="0.25">
      <c r="A649" s="26"/>
      <c r="B649" s="26"/>
    </row>
    <row r="650" spans="1:2" ht="15.75" customHeight="1" x14ac:dyDescent="0.25">
      <c r="A650" s="26"/>
      <c r="B650" s="26"/>
    </row>
    <row r="651" spans="1:2" ht="15.75" customHeight="1" x14ac:dyDescent="0.25">
      <c r="A651" s="26"/>
      <c r="B651" s="26"/>
    </row>
    <row r="652" spans="1:2" ht="15.75" customHeight="1" x14ac:dyDescent="0.25">
      <c r="A652" s="26"/>
      <c r="B652" s="26"/>
    </row>
    <row r="653" spans="1:2" ht="15.75" customHeight="1" x14ac:dyDescent="0.25">
      <c r="A653" s="26"/>
      <c r="B653" s="26"/>
    </row>
    <row r="654" spans="1:2" ht="15.75" customHeight="1" x14ac:dyDescent="0.25">
      <c r="A654" s="26"/>
      <c r="B654" s="26"/>
    </row>
    <row r="655" spans="1:2" ht="15.75" customHeight="1" x14ac:dyDescent="0.25">
      <c r="A655" s="26"/>
      <c r="B655" s="26"/>
    </row>
    <row r="656" spans="1:2" ht="15.75" customHeight="1" x14ac:dyDescent="0.25">
      <c r="A656" s="26"/>
      <c r="B656" s="26"/>
    </row>
    <row r="657" spans="1:2" ht="15.75" customHeight="1" x14ac:dyDescent="0.25">
      <c r="A657" s="26"/>
      <c r="B657" s="26"/>
    </row>
    <row r="658" spans="1:2" ht="15.75" customHeight="1" x14ac:dyDescent="0.25">
      <c r="A658" s="26"/>
      <c r="B658" s="26"/>
    </row>
    <row r="659" spans="1:2" ht="15.75" customHeight="1" x14ac:dyDescent="0.25">
      <c r="A659" s="26"/>
      <c r="B659" s="26"/>
    </row>
    <row r="660" spans="1:2" ht="15.75" customHeight="1" x14ac:dyDescent="0.25">
      <c r="A660" s="26"/>
      <c r="B660" s="26"/>
    </row>
    <row r="661" spans="1:2" ht="15.75" customHeight="1" x14ac:dyDescent="0.25">
      <c r="A661" s="26"/>
      <c r="B661" s="26"/>
    </row>
    <row r="662" spans="1:2" ht="15.75" customHeight="1" x14ac:dyDescent="0.25">
      <c r="A662" s="26"/>
      <c r="B662" s="26"/>
    </row>
    <row r="663" spans="1:2" ht="15.75" customHeight="1" x14ac:dyDescent="0.25">
      <c r="A663" s="26"/>
      <c r="B663" s="26"/>
    </row>
    <row r="664" spans="1:2" ht="15.75" customHeight="1" x14ac:dyDescent="0.25">
      <c r="A664" s="26"/>
      <c r="B664" s="26"/>
    </row>
    <row r="665" spans="1:2" ht="15.75" customHeight="1" x14ac:dyDescent="0.25">
      <c r="A665" s="26"/>
      <c r="B665" s="26"/>
    </row>
    <row r="666" spans="1:2" ht="15.75" customHeight="1" x14ac:dyDescent="0.25">
      <c r="A666" s="26"/>
      <c r="B666" s="26"/>
    </row>
    <row r="667" spans="1:2" ht="15.75" customHeight="1" x14ac:dyDescent="0.25">
      <c r="A667" s="26"/>
      <c r="B667" s="26"/>
    </row>
    <row r="668" spans="1:2" ht="15.75" customHeight="1" x14ac:dyDescent="0.25">
      <c r="A668" s="26"/>
      <c r="B668" s="26"/>
    </row>
    <row r="669" spans="1:2" ht="15.75" customHeight="1" x14ac:dyDescent="0.25">
      <c r="A669" s="26"/>
      <c r="B669" s="26"/>
    </row>
    <row r="670" spans="1:2" ht="15.75" customHeight="1" x14ac:dyDescent="0.25">
      <c r="A670" s="26"/>
      <c r="B670" s="26"/>
    </row>
    <row r="671" spans="1:2" ht="15.75" customHeight="1" x14ac:dyDescent="0.25">
      <c r="A671" s="26"/>
      <c r="B671" s="26"/>
    </row>
    <row r="672" spans="1:2" ht="15.75" customHeight="1" x14ac:dyDescent="0.25">
      <c r="A672" s="26"/>
      <c r="B672" s="26"/>
    </row>
    <row r="673" spans="1:2" ht="15.75" customHeight="1" x14ac:dyDescent="0.25">
      <c r="A673" s="26"/>
      <c r="B673" s="26"/>
    </row>
    <row r="674" spans="1:2" ht="15.75" customHeight="1" x14ac:dyDescent="0.25">
      <c r="A674" s="26"/>
      <c r="B674" s="26"/>
    </row>
    <row r="675" spans="1:2" ht="15.75" customHeight="1" x14ac:dyDescent="0.25">
      <c r="A675" s="26"/>
      <c r="B675" s="26"/>
    </row>
    <row r="676" spans="1:2" ht="15.75" customHeight="1" x14ac:dyDescent="0.25">
      <c r="A676" s="26"/>
      <c r="B676" s="26"/>
    </row>
    <row r="677" spans="1:2" ht="15.75" customHeight="1" x14ac:dyDescent="0.25">
      <c r="A677" s="26"/>
      <c r="B677" s="26"/>
    </row>
    <row r="678" spans="1:2" ht="15.75" customHeight="1" x14ac:dyDescent="0.25">
      <c r="A678" s="26"/>
      <c r="B678" s="26"/>
    </row>
    <row r="679" spans="1:2" ht="15.75" customHeight="1" x14ac:dyDescent="0.25">
      <c r="A679" s="26"/>
      <c r="B679" s="26"/>
    </row>
    <row r="680" spans="1:2" ht="15.75" customHeight="1" x14ac:dyDescent="0.25">
      <c r="A680" s="26"/>
      <c r="B680" s="26"/>
    </row>
    <row r="681" spans="1:2" ht="15.75" customHeight="1" x14ac:dyDescent="0.25">
      <c r="A681" s="26"/>
      <c r="B681" s="26"/>
    </row>
    <row r="682" spans="1:2" ht="15.75" customHeight="1" x14ac:dyDescent="0.25">
      <c r="A682" s="26"/>
      <c r="B682" s="26"/>
    </row>
    <row r="683" spans="1:2" ht="15.75" customHeight="1" x14ac:dyDescent="0.25">
      <c r="A683" s="26"/>
      <c r="B683" s="26"/>
    </row>
    <row r="684" spans="1:2" ht="15.75" customHeight="1" x14ac:dyDescent="0.25">
      <c r="A684" s="26"/>
      <c r="B684" s="26"/>
    </row>
    <row r="685" spans="1:2" ht="15.75" customHeight="1" x14ac:dyDescent="0.25">
      <c r="A685" s="26"/>
      <c r="B685" s="26"/>
    </row>
    <row r="686" spans="1:2" ht="15.75" customHeight="1" x14ac:dyDescent="0.25">
      <c r="A686" s="26"/>
      <c r="B686" s="26"/>
    </row>
    <row r="687" spans="1:2" ht="15.75" customHeight="1" x14ac:dyDescent="0.25">
      <c r="A687" s="26"/>
      <c r="B687" s="26"/>
    </row>
    <row r="688" spans="1:2" ht="15.75" customHeight="1" x14ac:dyDescent="0.25">
      <c r="A688" s="26"/>
      <c r="B688" s="26"/>
    </row>
    <row r="689" spans="1:2" ht="15.75" customHeight="1" x14ac:dyDescent="0.25">
      <c r="A689" s="26"/>
      <c r="B689" s="26"/>
    </row>
    <row r="690" spans="1:2" ht="15.75" customHeight="1" x14ac:dyDescent="0.25">
      <c r="A690" s="26"/>
      <c r="B690" s="26"/>
    </row>
    <row r="691" spans="1:2" ht="15.75" customHeight="1" x14ac:dyDescent="0.25">
      <c r="A691" s="26"/>
      <c r="B691" s="26"/>
    </row>
    <row r="692" spans="1:2" ht="15.75" customHeight="1" x14ac:dyDescent="0.25">
      <c r="A692" s="26"/>
      <c r="B692" s="26"/>
    </row>
    <row r="693" spans="1:2" ht="15.75" customHeight="1" x14ac:dyDescent="0.25">
      <c r="A693" s="26"/>
      <c r="B693" s="26"/>
    </row>
    <row r="694" spans="1:2" ht="15.75" customHeight="1" x14ac:dyDescent="0.25">
      <c r="A694" s="26"/>
      <c r="B694" s="26"/>
    </row>
    <row r="695" spans="1:2" ht="15.75" customHeight="1" x14ac:dyDescent="0.25">
      <c r="A695" s="26"/>
      <c r="B695" s="26"/>
    </row>
    <row r="696" spans="1:2" ht="15.75" customHeight="1" x14ac:dyDescent="0.25">
      <c r="A696" s="26"/>
      <c r="B696" s="26"/>
    </row>
    <row r="697" spans="1:2" ht="15.75" customHeight="1" x14ac:dyDescent="0.25">
      <c r="A697" s="26"/>
      <c r="B697" s="26"/>
    </row>
    <row r="698" spans="1:2" ht="15.75" customHeight="1" x14ac:dyDescent="0.25">
      <c r="A698" s="26"/>
      <c r="B698" s="26"/>
    </row>
    <row r="699" spans="1:2" ht="15.75" customHeight="1" x14ac:dyDescent="0.25">
      <c r="A699" s="26"/>
      <c r="B699" s="26"/>
    </row>
    <row r="700" spans="1:2" ht="15.75" customHeight="1" x14ac:dyDescent="0.25">
      <c r="A700" s="26"/>
      <c r="B700" s="26"/>
    </row>
    <row r="701" spans="1:2" ht="15.75" customHeight="1" x14ac:dyDescent="0.25">
      <c r="A701" s="26"/>
      <c r="B701" s="26"/>
    </row>
    <row r="702" spans="1:2" ht="15.75" customHeight="1" x14ac:dyDescent="0.25">
      <c r="A702" s="26"/>
      <c r="B702" s="26"/>
    </row>
    <row r="703" spans="1:2" ht="15.75" customHeight="1" x14ac:dyDescent="0.25">
      <c r="A703" s="26"/>
      <c r="B703" s="26"/>
    </row>
    <row r="704" spans="1:2" ht="15.75" customHeight="1" x14ac:dyDescent="0.25">
      <c r="A704" s="26"/>
      <c r="B704" s="26"/>
    </row>
    <row r="705" spans="1:2" ht="15.75" customHeight="1" x14ac:dyDescent="0.25">
      <c r="A705" s="26"/>
      <c r="B705" s="26"/>
    </row>
    <row r="706" spans="1:2" ht="15.75" customHeight="1" x14ac:dyDescent="0.25">
      <c r="A706" s="26"/>
      <c r="B706" s="26"/>
    </row>
    <row r="707" spans="1:2" ht="15.75" customHeight="1" x14ac:dyDescent="0.25">
      <c r="A707" s="26"/>
      <c r="B707" s="26"/>
    </row>
    <row r="708" spans="1:2" ht="15.75" customHeight="1" x14ac:dyDescent="0.25">
      <c r="A708" s="26"/>
      <c r="B708" s="26"/>
    </row>
    <row r="709" spans="1:2" ht="15.75" customHeight="1" x14ac:dyDescent="0.25">
      <c r="A709" s="26"/>
      <c r="B709" s="26"/>
    </row>
    <row r="710" spans="1:2" ht="15.75" customHeight="1" x14ac:dyDescent="0.25">
      <c r="A710" s="26"/>
      <c r="B710" s="26"/>
    </row>
    <row r="711" spans="1:2" ht="15.75" customHeight="1" x14ac:dyDescent="0.25">
      <c r="A711" s="26"/>
      <c r="B711" s="26"/>
    </row>
    <row r="712" spans="1:2" ht="15.75" customHeight="1" x14ac:dyDescent="0.25">
      <c r="A712" s="26"/>
      <c r="B712" s="26"/>
    </row>
    <row r="713" spans="1:2" ht="15.75" customHeight="1" x14ac:dyDescent="0.25">
      <c r="A713" s="26"/>
      <c r="B713" s="26"/>
    </row>
    <row r="714" spans="1:2" ht="15.75" customHeight="1" x14ac:dyDescent="0.25">
      <c r="A714" s="26"/>
      <c r="B714" s="26"/>
    </row>
    <row r="715" spans="1:2" ht="15.75" customHeight="1" x14ac:dyDescent="0.25">
      <c r="A715" s="26"/>
      <c r="B715" s="26"/>
    </row>
    <row r="716" spans="1:2" ht="15.75" customHeight="1" x14ac:dyDescent="0.25">
      <c r="A716" s="26"/>
      <c r="B716" s="26"/>
    </row>
    <row r="717" spans="1:2" ht="15.75" customHeight="1" x14ac:dyDescent="0.25">
      <c r="A717" s="26"/>
      <c r="B717" s="26"/>
    </row>
    <row r="718" spans="1:2" ht="15.75" customHeight="1" x14ac:dyDescent="0.25">
      <c r="A718" s="26"/>
      <c r="B718" s="26"/>
    </row>
    <row r="719" spans="1:2" ht="15.75" customHeight="1" x14ac:dyDescent="0.25">
      <c r="A719" s="26"/>
      <c r="B719" s="26"/>
    </row>
    <row r="720" spans="1:2" ht="15.75" customHeight="1" x14ac:dyDescent="0.25">
      <c r="A720" s="26"/>
      <c r="B720" s="26"/>
    </row>
    <row r="721" spans="1:2" ht="15.75" customHeight="1" x14ac:dyDescent="0.25">
      <c r="A721" s="26"/>
      <c r="B721" s="26"/>
    </row>
    <row r="722" spans="1:2" ht="15.75" customHeight="1" x14ac:dyDescent="0.25">
      <c r="A722" s="26"/>
      <c r="B722" s="26"/>
    </row>
    <row r="723" spans="1:2" ht="15.75" customHeight="1" x14ac:dyDescent="0.25">
      <c r="A723" s="26"/>
      <c r="B723" s="26"/>
    </row>
    <row r="724" spans="1:2" ht="15.75" customHeight="1" x14ac:dyDescent="0.25">
      <c r="A724" s="26"/>
      <c r="B724" s="26"/>
    </row>
    <row r="725" spans="1:2" ht="15.75" customHeight="1" x14ac:dyDescent="0.25">
      <c r="A725" s="26"/>
      <c r="B725" s="26"/>
    </row>
    <row r="726" spans="1:2" ht="15.75" customHeight="1" x14ac:dyDescent="0.25">
      <c r="A726" s="26"/>
      <c r="B726" s="26"/>
    </row>
    <row r="727" spans="1:2" ht="15.75" customHeight="1" x14ac:dyDescent="0.25">
      <c r="A727" s="26"/>
      <c r="B727" s="26"/>
    </row>
    <row r="728" spans="1:2" ht="15.75" customHeight="1" x14ac:dyDescent="0.25">
      <c r="A728" s="26"/>
      <c r="B728" s="26"/>
    </row>
    <row r="729" spans="1:2" ht="15.75" customHeight="1" x14ac:dyDescent="0.25">
      <c r="A729" s="26"/>
      <c r="B729" s="26"/>
    </row>
    <row r="730" spans="1:2" ht="15.75" customHeight="1" x14ac:dyDescent="0.25">
      <c r="A730" s="26"/>
      <c r="B730" s="26"/>
    </row>
    <row r="731" spans="1:2" ht="15.75" customHeight="1" x14ac:dyDescent="0.25">
      <c r="A731" s="26"/>
      <c r="B731" s="26"/>
    </row>
    <row r="732" spans="1:2" ht="15.75" customHeight="1" x14ac:dyDescent="0.25">
      <c r="A732" s="26"/>
      <c r="B732" s="26"/>
    </row>
    <row r="733" spans="1:2" ht="15.75" customHeight="1" x14ac:dyDescent="0.25">
      <c r="A733" s="26"/>
      <c r="B733" s="26"/>
    </row>
    <row r="734" spans="1:2" ht="15.75" customHeight="1" x14ac:dyDescent="0.25">
      <c r="A734" s="26"/>
      <c r="B734" s="26"/>
    </row>
    <row r="735" spans="1:2" ht="15.75" customHeight="1" x14ac:dyDescent="0.25">
      <c r="A735" s="26"/>
      <c r="B735" s="26"/>
    </row>
    <row r="736" spans="1:2" ht="15.75" customHeight="1" x14ac:dyDescent="0.25">
      <c r="A736" s="26"/>
      <c r="B736" s="26"/>
    </row>
    <row r="737" spans="1:2" ht="15.75" customHeight="1" x14ac:dyDescent="0.25">
      <c r="A737" s="26"/>
      <c r="B737" s="26"/>
    </row>
    <row r="738" spans="1:2" ht="15.75" customHeight="1" x14ac:dyDescent="0.25">
      <c r="A738" s="26"/>
      <c r="B738" s="26"/>
    </row>
    <row r="739" spans="1:2" ht="15.75" customHeight="1" x14ac:dyDescent="0.25">
      <c r="A739" s="26"/>
      <c r="B739" s="26"/>
    </row>
    <row r="740" spans="1:2" ht="15.75" customHeight="1" x14ac:dyDescent="0.25">
      <c r="A740" s="26"/>
      <c r="B740" s="26"/>
    </row>
    <row r="741" spans="1:2" ht="15.75" customHeight="1" x14ac:dyDescent="0.25">
      <c r="A741" s="26"/>
      <c r="B741" s="26"/>
    </row>
    <row r="742" spans="1:2" ht="15.75" customHeight="1" x14ac:dyDescent="0.25">
      <c r="A742" s="26"/>
      <c r="B742" s="26"/>
    </row>
    <row r="743" spans="1:2" ht="15.75" customHeight="1" x14ac:dyDescent="0.25">
      <c r="A743" s="26"/>
      <c r="B743" s="26"/>
    </row>
    <row r="744" spans="1:2" ht="15.75" customHeight="1" x14ac:dyDescent="0.25">
      <c r="A744" s="26"/>
      <c r="B744" s="26"/>
    </row>
    <row r="745" spans="1:2" ht="15.75" customHeight="1" x14ac:dyDescent="0.25">
      <c r="A745" s="26"/>
      <c r="B745" s="26"/>
    </row>
    <row r="746" spans="1:2" ht="15.75" customHeight="1" x14ac:dyDescent="0.25">
      <c r="A746" s="26"/>
      <c r="B746" s="26"/>
    </row>
    <row r="747" spans="1:2" ht="15.75" customHeight="1" x14ac:dyDescent="0.25">
      <c r="A747" s="26"/>
      <c r="B747" s="26"/>
    </row>
    <row r="748" spans="1:2" ht="15.75" customHeight="1" x14ac:dyDescent="0.25">
      <c r="A748" s="26"/>
      <c r="B748" s="26"/>
    </row>
    <row r="749" spans="1:2" ht="15.75" customHeight="1" x14ac:dyDescent="0.25">
      <c r="A749" s="26"/>
      <c r="B749" s="26"/>
    </row>
    <row r="750" spans="1:2" ht="15.75" customHeight="1" x14ac:dyDescent="0.25">
      <c r="A750" s="26"/>
      <c r="B750" s="26"/>
    </row>
    <row r="751" spans="1:2" ht="15.75" customHeight="1" x14ac:dyDescent="0.25">
      <c r="A751" s="26"/>
      <c r="B751" s="26"/>
    </row>
    <row r="752" spans="1:2" ht="15.75" customHeight="1" x14ac:dyDescent="0.25">
      <c r="A752" s="26"/>
      <c r="B752" s="26"/>
    </row>
    <row r="753" spans="1:2" ht="15.75" customHeight="1" x14ac:dyDescent="0.25">
      <c r="A753" s="26"/>
      <c r="B753" s="26"/>
    </row>
    <row r="754" spans="1:2" ht="15.75" customHeight="1" x14ac:dyDescent="0.25">
      <c r="A754" s="26"/>
      <c r="B754" s="26"/>
    </row>
    <row r="755" spans="1:2" ht="15.75" customHeight="1" x14ac:dyDescent="0.25">
      <c r="A755" s="26"/>
      <c r="B755" s="26"/>
    </row>
    <row r="756" spans="1:2" ht="15.75" customHeight="1" x14ac:dyDescent="0.25">
      <c r="A756" s="26"/>
      <c r="B756" s="26"/>
    </row>
    <row r="757" spans="1:2" ht="15.75" customHeight="1" x14ac:dyDescent="0.25">
      <c r="A757" s="26"/>
      <c r="B757" s="26"/>
    </row>
    <row r="758" spans="1:2" ht="15.75" customHeight="1" x14ac:dyDescent="0.25">
      <c r="A758" s="26"/>
      <c r="B758" s="26"/>
    </row>
    <row r="759" spans="1:2" ht="15.75" customHeight="1" x14ac:dyDescent="0.25">
      <c r="A759" s="26"/>
      <c r="B759" s="26"/>
    </row>
    <row r="760" spans="1:2" ht="15.75" customHeight="1" x14ac:dyDescent="0.25">
      <c r="A760" s="26"/>
      <c r="B760" s="26"/>
    </row>
    <row r="761" spans="1:2" ht="15.75" customHeight="1" x14ac:dyDescent="0.25">
      <c r="A761" s="26"/>
      <c r="B761" s="26"/>
    </row>
    <row r="762" spans="1:2" ht="15.75" customHeight="1" x14ac:dyDescent="0.25">
      <c r="A762" s="26"/>
      <c r="B762" s="26"/>
    </row>
    <row r="763" spans="1:2" ht="15.75" customHeight="1" x14ac:dyDescent="0.25">
      <c r="A763" s="26"/>
      <c r="B763" s="26"/>
    </row>
    <row r="764" spans="1:2" ht="15.75" customHeight="1" x14ac:dyDescent="0.25">
      <c r="A764" s="26"/>
      <c r="B764" s="26"/>
    </row>
    <row r="765" spans="1:2" ht="15.75" customHeight="1" x14ac:dyDescent="0.25">
      <c r="A765" s="26"/>
      <c r="B765" s="26"/>
    </row>
    <row r="766" spans="1:2" ht="15.75" customHeight="1" x14ac:dyDescent="0.25">
      <c r="A766" s="26"/>
      <c r="B766" s="26"/>
    </row>
    <row r="767" spans="1:2" ht="15.75" customHeight="1" x14ac:dyDescent="0.25">
      <c r="A767" s="26"/>
      <c r="B767" s="26"/>
    </row>
    <row r="768" spans="1:2" ht="15.75" customHeight="1" x14ac:dyDescent="0.25">
      <c r="A768" s="26"/>
      <c r="B768" s="26"/>
    </row>
    <row r="769" spans="1:2" ht="15.75" customHeight="1" x14ac:dyDescent="0.25">
      <c r="A769" s="26"/>
      <c r="B769" s="26"/>
    </row>
    <row r="770" spans="1:2" ht="15.75" customHeight="1" x14ac:dyDescent="0.25">
      <c r="A770" s="26"/>
      <c r="B770" s="26"/>
    </row>
    <row r="771" spans="1:2" ht="15.75" customHeight="1" x14ac:dyDescent="0.25">
      <c r="A771" s="26"/>
      <c r="B771" s="26"/>
    </row>
    <row r="772" spans="1:2" ht="15.75" customHeight="1" x14ac:dyDescent="0.25">
      <c r="A772" s="26"/>
      <c r="B772" s="26"/>
    </row>
    <row r="773" spans="1:2" ht="15.75" customHeight="1" x14ac:dyDescent="0.25">
      <c r="A773" s="26"/>
      <c r="B773" s="26"/>
    </row>
    <row r="774" spans="1:2" ht="15.75" customHeight="1" x14ac:dyDescent="0.25">
      <c r="A774" s="26"/>
      <c r="B774" s="26"/>
    </row>
    <row r="775" spans="1:2" ht="15.75" customHeight="1" x14ac:dyDescent="0.25">
      <c r="A775" s="26"/>
      <c r="B775" s="26"/>
    </row>
    <row r="776" spans="1:2" ht="15.75" customHeight="1" x14ac:dyDescent="0.25">
      <c r="A776" s="26"/>
      <c r="B776" s="26"/>
    </row>
    <row r="777" spans="1:2" ht="15.75" customHeight="1" x14ac:dyDescent="0.25">
      <c r="A777" s="26"/>
      <c r="B777" s="26"/>
    </row>
    <row r="778" spans="1:2" ht="15.75" customHeight="1" x14ac:dyDescent="0.25">
      <c r="A778" s="26"/>
      <c r="B778" s="26"/>
    </row>
    <row r="779" spans="1:2" ht="15.75" customHeight="1" x14ac:dyDescent="0.25">
      <c r="A779" s="26"/>
      <c r="B779" s="26"/>
    </row>
    <row r="780" spans="1:2" ht="15.75" customHeight="1" x14ac:dyDescent="0.25">
      <c r="A780" s="26"/>
      <c r="B780" s="26"/>
    </row>
    <row r="781" spans="1:2" ht="15.75" customHeight="1" x14ac:dyDescent="0.25">
      <c r="A781" s="26"/>
      <c r="B781" s="26"/>
    </row>
    <row r="782" spans="1:2" ht="15.75" customHeight="1" x14ac:dyDescent="0.25">
      <c r="A782" s="26"/>
      <c r="B782" s="26"/>
    </row>
    <row r="783" spans="1:2" ht="15.75" customHeight="1" x14ac:dyDescent="0.25">
      <c r="A783" s="26"/>
      <c r="B783" s="26"/>
    </row>
    <row r="784" spans="1:2" ht="15.75" customHeight="1" x14ac:dyDescent="0.25">
      <c r="A784" s="26"/>
      <c r="B784" s="26"/>
    </row>
    <row r="785" spans="1:2" ht="15.75" customHeight="1" x14ac:dyDescent="0.25">
      <c r="A785" s="26"/>
      <c r="B785" s="26"/>
    </row>
    <row r="786" spans="1:2" ht="15.75" customHeight="1" x14ac:dyDescent="0.25">
      <c r="A786" s="26"/>
      <c r="B786" s="26"/>
    </row>
    <row r="787" spans="1:2" ht="15.75" customHeight="1" x14ac:dyDescent="0.25">
      <c r="A787" s="26"/>
      <c r="B787" s="26"/>
    </row>
    <row r="788" spans="1:2" ht="15.75" customHeight="1" x14ac:dyDescent="0.25">
      <c r="A788" s="26"/>
      <c r="B788" s="26"/>
    </row>
    <row r="789" spans="1:2" ht="15.75" customHeight="1" x14ac:dyDescent="0.25">
      <c r="A789" s="26"/>
      <c r="B789" s="26"/>
    </row>
    <row r="790" spans="1:2" ht="15.75" customHeight="1" x14ac:dyDescent="0.25">
      <c r="A790" s="26"/>
      <c r="B790" s="26"/>
    </row>
    <row r="791" spans="1:2" ht="15.75" customHeight="1" x14ac:dyDescent="0.25">
      <c r="A791" s="26"/>
      <c r="B791" s="26"/>
    </row>
    <row r="792" spans="1:2" ht="15.75" customHeight="1" x14ac:dyDescent="0.25">
      <c r="A792" s="26"/>
      <c r="B792" s="26"/>
    </row>
    <row r="793" spans="1:2" ht="15.75" customHeight="1" x14ac:dyDescent="0.25">
      <c r="A793" s="26"/>
      <c r="B793" s="26"/>
    </row>
    <row r="794" spans="1:2" ht="15.75" customHeight="1" x14ac:dyDescent="0.25">
      <c r="A794" s="26"/>
      <c r="B794" s="26"/>
    </row>
    <row r="795" spans="1:2" ht="15.75" customHeight="1" x14ac:dyDescent="0.25">
      <c r="A795" s="26"/>
      <c r="B795" s="26"/>
    </row>
    <row r="796" spans="1:2" ht="15.75" customHeight="1" x14ac:dyDescent="0.25">
      <c r="A796" s="26"/>
      <c r="B796" s="26"/>
    </row>
    <row r="797" spans="1:2" ht="15.75" customHeight="1" x14ac:dyDescent="0.25">
      <c r="A797" s="26"/>
      <c r="B797" s="26"/>
    </row>
    <row r="798" spans="1:2" ht="15.75" customHeight="1" x14ac:dyDescent="0.25">
      <c r="A798" s="26"/>
      <c r="B798" s="26"/>
    </row>
    <row r="799" spans="1:2" ht="15.75" customHeight="1" x14ac:dyDescent="0.25">
      <c r="A799" s="26"/>
      <c r="B799" s="26"/>
    </row>
    <row r="800" spans="1:2" ht="15.75" customHeight="1" x14ac:dyDescent="0.25">
      <c r="A800" s="26"/>
      <c r="B800" s="26"/>
    </row>
    <row r="801" spans="1:2" ht="15.75" customHeight="1" x14ac:dyDescent="0.25">
      <c r="A801" s="26"/>
      <c r="B801" s="26"/>
    </row>
    <row r="802" spans="1:2" ht="15.75" customHeight="1" x14ac:dyDescent="0.25">
      <c r="A802" s="26"/>
      <c r="B802" s="26"/>
    </row>
    <row r="803" spans="1:2" ht="15.75" customHeight="1" x14ac:dyDescent="0.25">
      <c r="A803" s="26"/>
      <c r="B803" s="26"/>
    </row>
    <row r="804" spans="1:2" ht="15.75" customHeight="1" x14ac:dyDescent="0.25">
      <c r="A804" s="26"/>
      <c r="B804" s="26"/>
    </row>
    <row r="805" spans="1:2" ht="15.75" customHeight="1" x14ac:dyDescent="0.25">
      <c r="A805" s="26"/>
      <c r="B805" s="26"/>
    </row>
    <row r="806" spans="1:2" ht="15.75" customHeight="1" x14ac:dyDescent="0.25">
      <c r="A806" s="26"/>
      <c r="B806" s="26"/>
    </row>
    <row r="807" spans="1:2" ht="15.75" customHeight="1" x14ac:dyDescent="0.25">
      <c r="A807" s="26"/>
      <c r="B807" s="26"/>
    </row>
    <row r="808" spans="1:2" ht="15.75" customHeight="1" x14ac:dyDescent="0.25">
      <c r="A808" s="26"/>
      <c r="B808" s="26"/>
    </row>
    <row r="809" spans="1:2" ht="15.75" customHeight="1" x14ac:dyDescent="0.25">
      <c r="A809" s="26"/>
      <c r="B809" s="26"/>
    </row>
    <row r="810" spans="1:2" ht="15.75" customHeight="1" x14ac:dyDescent="0.25">
      <c r="A810" s="26"/>
      <c r="B810" s="26"/>
    </row>
    <row r="811" spans="1:2" ht="15.75" customHeight="1" x14ac:dyDescent="0.25">
      <c r="A811" s="26"/>
      <c r="B811" s="26"/>
    </row>
    <row r="812" spans="1:2" ht="15.75" customHeight="1" x14ac:dyDescent="0.25">
      <c r="A812" s="26"/>
      <c r="B812" s="26"/>
    </row>
    <row r="813" spans="1:2" ht="15.75" customHeight="1" x14ac:dyDescent="0.25">
      <c r="A813" s="26"/>
      <c r="B813" s="26"/>
    </row>
    <row r="814" spans="1:2" ht="15.75" customHeight="1" x14ac:dyDescent="0.25">
      <c r="A814" s="26"/>
      <c r="B814" s="26"/>
    </row>
    <row r="815" spans="1:2" ht="15.75" customHeight="1" x14ac:dyDescent="0.25">
      <c r="A815" s="26"/>
      <c r="B815" s="26"/>
    </row>
    <row r="816" spans="1:2" ht="15.75" customHeight="1" x14ac:dyDescent="0.25">
      <c r="A816" s="26"/>
      <c r="B816" s="26"/>
    </row>
    <row r="817" spans="1:2" ht="15.75" customHeight="1" x14ac:dyDescent="0.25">
      <c r="A817" s="26"/>
      <c r="B817" s="26"/>
    </row>
    <row r="818" spans="1:2" ht="15.75" customHeight="1" x14ac:dyDescent="0.25">
      <c r="A818" s="26"/>
      <c r="B818" s="26"/>
    </row>
    <row r="819" spans="1:2" ht="15.75" customHeight="1" x14ac:dyDescent="0.25">
      <c r="A819" s="26"/>
      <c r="B819" s="26"/>
    </row>
    <row r="820" spans="1:2" ht="15.75" customHeight="1" x14ac:dyDescent="0.25">
      <c r="A820" s="26"/>
      <c r="B820" s="26"/>
    </row>
    <row r="821" spans="1:2" ht="15.75" customHeight="1" x14ac:dyDescent="0.25">
      <c r="A821" s="26"/>
      <c r="B821" s="26"/>
    </row>
    <row r="822" spans="1:2" ht="15.75" customHeight="1" x14ac:dyDescent="0.25">
      <c r="A822" s="26"/>
      <c r="B822" s="26"/>
    </row>
    <row r="823" spans="1:2" ht="15.75" customHeight="1" x14ac:dyDescent="0.25">
      <c r="A823" s="26"/>
      <c r="B823" s="26"/>
    </row>
    <row r="824" spans="1:2" ht="15.75" customHeight="1" x14ac:dyDescent="0.25">
      <c r="A824" s="26"/>
      <c r="B824" s="26"/>
    </row>
    <row r="825" spans="1:2" ht="15.75" customHeight="1" x14ac:dyDescent="0.25">
      <c r="A825" s="26"/>
      <c r="B825" s="26"/>
    </row>
    <row r="826" spans="1:2" ht="15.75" customHeight="1" x14ac:dyDescent="0.25">
      <c r="A826" s="26"/>
      <c r="B826" s="26"/>
    </row>
    <row r="827" spans="1:2" ht="15.75" customHeight="1" x14ac:dyDescent="0.25">
      <c r="A827" s="26"/>
      <c r="B827" s="26"/>
    </row>
    <row r="828" spans="1:2" ht="15.75" customHeight="1" x14ac:dyDescent="0.25">
      <c r="A828" s="26"/>
      <c r="B828" s="26"/>
    </row>
    <row r="829" spans="1:2" ht="15.75" customHeight="1" x14ac:dyDescent="0.25">
      <c r="A829" s="26"/>
      <c r="B829" s="26"/>
    </row>
    <row r="830" spans="1:2" ht="15.75" customHeight="1" x14ac:dyDescent="0.25">
      <c r="A830" s="26"/>
      <c r="B830" s="26"/>
    </row>
    <row r="831" spans="1:2" ht="15.75" customHeight="1" x14ac:dyDescent="0.25">
      <c r="A831" s="26"/>
      <c r="B831" s="26"/>
    </row>
    <row r="832" spans="1:2" ht="15.75" customHeight="1" x14ac:dyDescent="0.25">
      <c r="A832" s="26"/>
      <c r="B832" s="26"/>
    </row>
    <row r="833" spans="1:2" ht="15.75" customHeight="1" x14ac:dyDescent="0.25">
      <c r="A833" s="26"/>
      <c r="B833" s="26"/>
    </row>
    <row r="834" spans="1:2" ht="15.75" customHeight="1" x14ac:dyDescent="0.25">
      <c r="A834" s="26"/>
      <c r="B834" s="26"/>
    </row>
    <row r="835" spans="1:2" ht="15.75" customHeight="1" x14ac:dyDescent="0.25">
      <c r="A835" s="26"/>
      <c r="B835" s="26"/>
    </row>
    <row r="836" spans="1:2" ht="15.75" customHeight="1" x14ac:dyDescent="0.25">
      <c r="A836" s="26"/>
      <c r="B836" s="26"/>
    </row>
    <row r="837" spans="1:2" ht="15.75" customHeight="1" x14ac:dyDescent="0.25">
      <c r="A837" s="26"/>
      <c r="B837" s="26"/>
    </row>
    <row r="838" spans="1:2" ht="15.75" customHeight="1" x14ac:dyDescent="0.25">
      <c r="A838" s="26"/>
      <c r="B838" s="26"/>
    </row>
    <row r="839" spans="1:2" ht="15.75" customHeight="1" x14ac:dyDescent="0.25">
      <c r="A839" s="26"/>
      <c r="B839" s="26"/>
    </row>
    <row r="840" spans="1:2" ht="15.75" customHeight="1" x14ac:dyDescent="0.25">
      <c r="A840" s="26"/>
      <c r="B840" s="26"/>
    </row>
    <row r="841" spans="1:2" ht="15.75" customHeight="1" x14ac:dyDescent="0.25">
      <c r="A841" s="26"/>
      <c r="B841" s="26"/>
    </row>
    <row r="842" spans="1:2" ht="15.75" customHeight="1" x14ac:dyDescent="0.25">
      <c r="A842" s="26"/>
      <c r="B842" s="26"/>
    </row>
    <row r="843" spans="1:2" ht="15.75" customHeight="1" x14ac:dyDescent="0.25">
      <c r="A843" s="26"/>
      <c r="B843" s="26"/>
    </row>
    <row r="844" spans="1:2" ht="15.75" customHeight="1" x14ac:dyDescent="0.25">
      <c r="A844" s="26"/>
      <c r="B844" s="26"/>
    </row>
    <row r="845" spans="1:2" ht="15.75" customHeight="1" x14ac:dyDescent="0.25">
      <c r="A845" s="26"/>
      <c r="B845" s="26"/>
    </row>
    <row r="846" spans="1:2" ht="15.75" customHeight="1" x14ac:dyDescent="0.25">
      <c r="A846" s="26"/>
      <c r="B846" s="26"/>
    </row>
    <row r="847" spans="1:2" ht="15.75" customHeight="1" x14ac:dyDescent="0.25">
      <c r="A847" s="26"/>
      <c r="B847" s="26"/>
    </row>
    <row r="848" spans="1:2" ht="15.75" customHeight="1" x14ac:dyDescent="0.25">
      <c r="A848" s="26"/>
      <c r="B848" s="26"/>
    </row>
    <row r="849" spans="1:2" ht="15.75" customHeight="1" x14ac:dyDescent="0.25">
      <c r="A849" s="26"/>
      <c r="B849" s="26"/>
    </row>
    <row r="850" spans="1:2" ht="15.75" customHeight="1" x14ac:dyDescent="0.25">
      <c r="A850" s="26"/>
      <c r="B850" s="26"/>
    </row>
    <row r="851" spans="1:2" ht="15.75" customHeight="1" x14ac:dyDescent="0.25">
      <c r="A851" s="26"/>
      <c r="B851" s="26"/>
    </row>
    <row r="852" spans="1:2" ht="15.75" customHeight="1" x14ac:dyDescent="0.25">
      <c r="A852" s="26"/>
      <c r="B852" s="26"/>
    </row>
    <row r="853" spans="1:2" ht="15.75" customHeight="1" x14ac:dyDescent="0.25">
      <c r="A853" s="26"/>
      <c r="B853" s="26"/>
    </row>
    <row r="854" spans="1:2" ht="15.75" customHeight="1" x14ac:dyDescent="0.25">
      <c r="A854" s="26"/>
      <c r="B854" s="26"/>
    </row>
    <row r="855" spans="1:2" ht="15.75" customHeight="1" x14ac:dyDescent="0.25">
      <c r="A855" s="26"/>
      <c r="B855" s="26"/>
    </row>
    <row r="856" spans="1:2" ht="15.75" customHeight="1" x14ac:dyDescent="0.25">
      <c r="A856" s="26"/>
      <c r="B856" s="26"/>
    </row>
    <row r="857" spans="1:2" ht="15.75" customHeight="1" x14ac:dyDescent="0.25">
      <c r="A857" s="26"/>
      <c r="B857" s="26"/>
    </row>
    <row r="858" spans="1:2" ht="15.75" customHeight="1" x14ac:dyDescent="0.25">
      <c r="A858" s="26"/>
      <c r="B858" s="26"/>
    </row>
    <row r="859" spans="1:2" ht="15.75" customHeight="1" x14ac:dyDescent="0.25">
      <c r="A859" s="26"/>
      <c r="B859" s="26"/>
    </row>
    <row r="860" spans="1:2" ht="15.75" customHeight="1" x14ac:dyDescent="0.25">
      <c r="A860" s="26"/>
      <c r="B860" s="26"/>
    </row>
    <row r="861" spans="1:2" ht="15.75" customHeight="1" x14ac:dyDescent="0.25">
      <c r="A861" s="26"/>
      <c r="B861" s="26"/>
    </row>
    <row r="862" spans="1:2" ht="15.75" customHeight="1" x14ac:dyDescent="0.25">
      <c r="A862" s="26"/>
      <c r="B862" s="26"/>
    </row>
    <row r="863" spans="1:2" ht="15.75" customHeight="1" x14ac:dyDescent="0.25">
      <c r="A863" s="26"/>
      <c r="B863" s="26"/>
    </row>
    <row r="864" spans="1:2" ht="15.75" customHeight="1" x14ac:dyDescent="0.25">
      <c r="A864" s="26"/>
      <c r="B864" s="26"/>
    </row>
    <row r="865" spans="1:2" ht="15.75" customHeight="1" x14ac:dyDescent="0.25">
      <c r="A865" s="26"/>
      <c r="B865" s="26"/>
    </row>
    <row r="866" spans="1:2" ht="15.75" customHeight="1" x14ac:dyDescent="0.25">
      <c r="A866" s="26"/>
      <c r="B866" s="26"/>
    </row>
    <row r="867" spans="1:2" ht="15.75" customHeight="1" x14ac:dyDescent="0.25">
      <c r="A867" s="26"/>
      <c r="B867" s="26"/>
    </row>
    <row r="868" spans="1:2" ht="15.75" customHeight="1" x14ac:dyDescent="0.25">
      <c r="A868" s="26"/>
      <c r="B868" s="26"/>
    </row>
    <row r="869" spans="1:2" ht="15.75" customHeight="1" x14ac:dyDescent="0.25">
      <c r="A869" s="26"/>
      <c r="B869" s="26"/>
    </row>
    <row r="870" spans="1:2" ht="15.75" customHeight="1" x14ac:dyDescent="0.25">
      <c r="A870" s="26"/>
      <c r="B870" s="26"/>
    </row>
    <row r="871" spans="1:2" ht="15.75" customHeight="1" x14ac:dyDescent="0.25">
      <c r="A871" s="26"/>
      <c r="B871" s="26"/>
    </row>
    <row r="872" spans="1:2" ht="15.75" customHeight="1" x14ac:dyDescent="0.25">
      <c r="A872" s="26"/>
      <c r="B872" s="26"/>
    </row>
    <row r="873" spans="1:2" ht="15.75" customHeight="1" x14ac:dyDescent="0.25">
      <c r="A873" s="26"/>
      <c r="B873" s="26"/>
    </row>
    <row r="874" spans="1:2" ht="15.75" customHeight="1" x14ac:dyDescent="0.25">
      <c r="A874" s="26"/>
      <c r="B874" s="26"/>
    </row>
    <row r="875" spans="1:2" ht="15.75" customHeight="1" x14ac:dyDescent="0.25">
      <c r="A875" s="26"/>
      <c r="B875" s="26"/>
    </row>
    <row r="876" spans="1:2" ht="15.75" customHeight="1" x14ac:dyDescent="0.25">
      <c r="A876" s="26"/>
      <c r="B876" s="26"/>
    </row>
    <row r="877" spans="1:2" ht="15.75" customHeight="1" x14ac:dyDescent="0.25">
      <c r="A877" s="26"/>
      <c r="B877" s="26"/>
    </row>
    <row r="878" spans="1:2" ht="15.75" customHeight="1" x14ac:dyDescent="0.25">
      <c r="A878" s="26"/>
      <c r="B878" s="26"/>
    </row>
    <row r="879" spans="1:2" ht="15.75" customHeight="1" x14ac:dyDescent="0.25">
      <c r="A879" s="26"/>
      <c r="B879" s="26"/>
    </row>
    <row r="880" spans="1:2" ht="15.75" customHeight="1" x14ac:dyDescent="0.25">
      <c r="A880" s="26"/>
      <c r="B880" s="26"/>
    </row>
    <row r="881" spans="1:2" ht="15.75" customHeight="1" x14ac:dyDescent="0.25">
      <c r="A881" s="26"/>
      <c r="B881" s="26"/>
    </row>
    <row r="882" spans="1:2" ht="15.75" customHeight="1" x14ac:dyDescent="0.25">
      <c r="A882" s="26"/>
      <c r="B882" s="26"/>
    </row>
    <row r="883" spans="1:2" ht="15.75" customHeight="1" x14ac:dyDescent="0.25">
      <c r="A883" s="26"/>
      <c r="B883" s="26"/>
    </row>
    <row r="884" spans="1:2" ht="15.75" customHeight="1" x14ac:dyDescent="0.25">
      <c r="A884" s="26"/>
      <c r="B884" s="26"/>
    </row>
    <row r="885" spans="1:2" ht="15.75" customHeight="1" x14ac:dyDescent="0.25">
      <c r="A885" s="26"/>
      <c r="B885" s="26"/>
    </row>
    <row r="886" spans="1:2" ht="15.75" customHeight="1" x14ac:dyDescent="0.25">
      <c r="A886" s="26"/>
      <c r="B886" s="26"/>
    </row>
    <row r="887" spans="1:2" ht="15.75" customHeight="1" x14ac:dyDescent="0.25">
      <c r="A887" s="26"/>
      <c r="B887" s="26"/>
    </row>
    <row r="888" spans="1:2" ht="15.75" customHeight="1" x14ac:dyDescent="0.25">
      <c r="A888" s="26"/>
      <c r="B888" s="26"/>
    </row>
    <row r="889" spans="1:2" ht="15.75" customHeight="1" x14ac:dyDescent="0.25">
      <c r="A889" s="26"/>
      <c r="B889" s="26"/>
    </row>
    <row r="890" spans="1:2" ht="15.75" customHeight="1" x14ac:dyDescent="0.25">
      <c r="A890" s="26"/>
      <c r="B890" s="26"/>
    </row>
    <row r="891" spans="1:2" ht="15.75" customHeight="1" x14ac:dyDescent="0.25">
      <c r="A891" s="26"/>
      <c r="B891" s="26"/>
    </row>
    <row r="892" spans="1:2" ht="15.75" customHeight="1" x14ac:dyDescent="0.25">
      <c r="A892" s="26"/>
      <c r="B892" s="26"/>
    </row>
    <row r="893" spans="1:2" ht="15.75" customHeight="1" x14ac:dyDescent="0.25">
      <c r="A893" s="26"/>
      <c r="B893" s="26"/>
    </row>
    <row r="894" spans="1:2" ht="15.75" customHeight="1" x14ac:dyDescent="0.25">
      <c r="A894" s="26"/>
      <c r="B894" s="26"/>
    </row>
    <row r="895" spans="1:2" ht="15.75" customHeight="1" x14ac:dyDescent="0.25">
      <c r="A895" s="26"/>
      <c r="B895" s="26"/>
    </row>
    <row r="896" spans="1:2" ht="15.75" customHeight="1" x14ac:dyDescent="0.25">
      <c r="A896" s="26"/>
      <c r="B896" s="26"/>
    </row>
    <row r="897" spans="1:2" ht="15.75" customHeight="1" x14ac:dyDescent="0.25">
      <c r="A897" s="26"/>
      <c r="B897" s="26"/>
    </row>
    <row r="898" spans="1:2" ht="15.75" customHeight="1" x14ac:dyDescent="0.25">
      <c r="A898" s="26"/>
      <c r="B898" s="26"/>
    </row>
    <row r="899" spans="1:2" ht="15.75" customHeight="1" x14ac:dyDescent="0.25">
      <c r="A899" s="26"/>
      <c r="B899" s="26"/>
    </row>
    <row r="900" spans="1:2" ht="15.75" customHeight="1" x14ac:dyDescent="0.25">
      <c r="A900" s="26"/>
      <c r="B900" s="26"/>
    </row>
    <row r="901" spans="1:2" ht="15.75" customHeight="1" x14ac:dyDescent="0.25">
      <c r="A901" s="26"/>
      <c r="B901" s="26"/>
    </row>
    <row r="902" spans="1:2" ht="15.75" customHeight="1" x14ac:dyDescent="0.25">
      <c r="A902" s="26"/>
      <c r="B902" s="26"/>
    </row>
    <row r="903" spans="1:2" ht="15.75" customHeight="1" x14ac:dyDescent="0.25">
      <c r="A903" s="26"/>
      <c r="B903" s="26"/>
    </row>
    <row r="904" spans="1:2" ht="15.75" customHeight="1" x14ac:dyDescent="0.25">
      <c r="A904" s="26"/>
      <c r="B904" s="26"/>
    </row>
    <row r="905" spans="1:2" ht="15.75" customHeight="1" x14ac:dyDescent="0.25">
      <c r="A905" s="26"/>
      <c r="B905" s="26"/>
    </row>
    <row r="906" spans="1:2" ht="15.75" customHeight="1" x14ac:dyDescent="0.25">
      <c r="A906" s="26"/>
      <c r="B906" s="26"/>
    </row>
    <row r="907" spans="1:2" ht="15.75" customHeight="1" x14ac:dyDescent="0.25">
      <c r="A907" s="26"/>
      <c r="B907" s="26"/>
    </row>
    <row r="908" spans="1:2" ht="15.75" customHeight="1" x14ac:dyDescent="0.25">
      <c r="A908" s="26"/>
      <c r="B908" s="26"/>
    </row>
    <row r="909" spans="1:2" ht="15.75" customHeight="1" x14ac:dyDescent="0.25">
      <c r="A909" s="26"/>
      <c r="B909" s="26"/>
    </row>
    <row r="910" spans="1:2" ht="15.75" customHeight="1" x14ac:dyDescent="0.25">
      <c r="A910" s="26"/>
      <c r="B910" s="26"/>
    </row>
    <row r="911" spans="1:2" ht="15.75" customHeight="1" x14ac:dyDescent="0.25">
      <c r="A911" s="26"/>
      <c r="B911" s="26"/>
    </row>
    <row r="912" spans="1:2" ht="15.75" customHeight="1" x14ac:dyDescent="0.25">
      <c r="A912" s="26"/>
      <c r="B912" s="26"/>
    </row>
    <row r="913" spans="1:2" ht="15.75" customHeight="1" x14ac:dyDescent="0.25">
      <c r="A913" s="26"/>
      <c r="B913" s="26"/>
    </row>
    <row r="914" spans="1:2" ht="15.75" customHeight="1" x14ac:dyDescent="0.25">
      <c r="A914" s="26"/>
      <c r="B914" s="26"/>
    </row>
    <row r="915" spans="1:2" ht="15.75" customHeight="1" x14ac:dyDescent="0.25">
      <c r="A915" s="26"/>
      <c r="B915" s="26"/>
    </row>
    <row r="916" spans="1:2" ht="15.75" customHeight="1" x14ac:dyDescent="0.25">
      <c r="A916" s="26"/>
      <c r="B916" s="26"/>
    </row>
    <row r="917" spans="1:2" ht="15.75" customHeight="1" x14ac:dyDescent="0.25">
      <c r="A917" s="26"/>
      <c r="B917" s="26"/>
    </row>
    <row r="918" spans="1:2" ht="15.75" customHeight="1" x14ac:dyDescent="0.25">
      <c r="A918" s="26"/>
      <c r="B918" s="26"/>
    </row>
    <row r="919" spans="1:2" ht="15.75" customHeight="1" x14ac:dyDescent="0.25">
      <c r="A919" s="26"/>
      <c r="B919" s="26"/>
    </row>
    <row r="920" spans="1:2" ht="15.75" customHeight="1" x14ac:dyDescent="0.25">
      <c r="A920" s="26"/>
      <c r="B920" s="26"/>
    </row>
    <row r="921" spans="1:2" ht="15.75" customHeight="1" x14ac:dyDescent="0.25">
      <c r="A921" s="26"/>
      <c r="B921" s="26"/>
    </row>
    <row r="922" spans="1:2" ht="15.75" customHeight="1" x14ac:dyDescent="0.25">
      <c r="A922" s="26"/>
      <c r="B922" s="26"/>
    </row>
    <row r="923" spans="1:2" ht="15.75" customHeight="1" x14ac:dyDescent="0.25">
      <c r="A923" s="26"/>
      <c r="B923" s="26"/>
    </row>
    <row r="924" spans="1:2" ht="15.75" customHeight="1" x14ac:dyDescent="0.25">
      <c r="A924" s="26"/>
      <c r="B924" s="26"/>
    </row>
    <row r="925" spans="1:2" ht="15.75" customHeight="1" x14ac:dyDescent="0.25">
      <c r="A925" s="26"/>
      <c r="B925" s="26"/>
    </row>
    <row r="926" spans="1:2" ht="15.75" customHeight="1" x14ac:dyDescent="0.25">
      <c r="A926" s="26"/>
      <c r="B926" s="26"/>
    </row>
    <row r="927" spans="1:2" ht="15.75" customHeight="1" x14ac:dyDescent="0.25">
      <c r="A927" s="26"/>
      <c r="B927" s="26"/>
    </row>
    <row r="928" spans="1:2" ht="15.75" customHeight="1" x14ac:dyDescent="0.25">
      <c r="A928" s="26"/>
      <c r="B928" s="26"/>
    </row>
    <row r="929" spans="1:2" ht="15.75" customHeight="1" x14ac:dyDescent="0.25">
      <c r="A929" s="26"/>
      <c r="B929" s="26"/>
    </row>
    <row r="930" spans="1:2" ht="15.75" customHeight="1" x14ac:dyDescent="0.25">
      <c r="A930" s="26"/>
      <c r="B930" s="26"/>
    </row>
    <row r="931" spans="1:2" ht="15.75" customHeight="1" x14ac:dyDescent="0.25">
      <c r="A931" s="26"/>
      <c r="B931" s="26"/>
    </row>
    <row r="932" spans="1:2" ht="15.75" customHeight="1" x14ac:dyDescent="0.25">
      <c r="A932" s="26"/>
      <c r="B932" s="26"/>
    </row>
    <row r="933" spans="1:2" ht="15.75" customHeight="1" x14ac:dyDescent="0.25">
      <c r="A933" s="26"/>
      <c r="B933" s="26"/>
    </row>
    <row r="934" spans="1:2" ht="15.75" customHeight="1" x14ac:dyDescent="0.25">
      <c r="A934" s="26"/>
      <c r="B934" s="26"/>
    </row>
    <row r="935" spans="1:2" ht="15.75" customHeight="1" x14ac:dyDescent="0.25">
      <c r="A935" s="26"/>
      <c r="B935" s="26"/>
    </row>
    <row r="936" spans="1:2" ht="15.75" customHeight="1" x14ac:dyDescent="0.25">
      <c r="A936" s="26"/>
      <c r="B936" s="26"/>
    </row>
    <row r="937" spans="1:2" ht="15.75" customHeight="1" x14ac:dyDescent="0.25">
      <c r="A937" s="26"/>
      <c r="B937" s="26"/>
    </row>
    <row r="938" spans="1:2" ht="15.75" customHeight="1" x14ac:dyDescent="0.25">
      <c r="A938" s="26"/>
      <c r="B938" s="26"/>
    </row>
    <row r="939" spans="1:2" ht="15.75" customHeight="1" x14ac:dyDescent="0.25">
      <c r="A939" s="26"/>
      <c r="B939" s="26"/>
    </row>
    <row r="940" spans="1:2" ht="15.75" customHeight="1" x14ac:dyDescent="0.25">
      <c r="A940" s="26"/>
      <c r="B940" s="26"/>
    </row>
    <row r="941" spans="1:2" ht="15.75" customHeight="1" x14ac:dyDescent="0.25">
      <c r="A941" s="26"/>
      <c r="B941" s="26"/>
    </row>
    <row r="942" spans="1:2" ht="15.75" customHeight="1" x14ac:dyDescent="0.25">
      <c r="A942" s="26"/>
      <c r="B942" s="26"/>
    </row>
    <row r="943" spans="1:2" ht="15.75" customHeight="1" x14ac:dyDescent="0.25">
      <c r="A943" s="26"/>
      <c r="B943" s="26"/>
    </row>
    <row r="944" spans="1:2" ht="15.75" customHeight="1" x14ac:dyDescent="0.25">
      <c r="A944" s="26"/>
      <c r="B944" s="26"/>
    </row>
    <row r="945" spans="1:2" ht="15.75" customHeight="1" x14ac:dyDescent="0.25">
      <c r="A945" s="26"/>
      <c r="B945" s="26"/>
    </row>
    <row r="946" spans="1:2" ht="15.75" customHeight="1" x14ac:dyDescent="0.25">
      <c r="A946" s="26"/>
      <c r="B946" s="26"/>
    </row>
    <row r="947" spans="1:2" ht="15.75" customHeight="1" x14ac:dyDescent="0.25">
      <c r="A947" s="26"/>
      <c r="B947" s="26"/>
    </row>
    <row r="948" spans="1:2" ht="15.75" customHeight="1" x14ac:dyDescent="0.25">
      <c r="A948" s="26"/>
      <c r="B948" s="26"/>
    </row>
    <row r="949" spans="1:2" ht="15.75" customHeight="1" x14ac:dyDescent="0.25">
      <c r="A949" s="26"/>
      <c r="B949" s="26"/>
    </row>
    <row r="950" spans="1:2" ht="15.75" customHeight="1" x14ac:dyDescent="0.25">
      <c r="A950" s="26"/>
      <c r="B950" s="26"/>
    </row>
    <row r="951" spans="1:2" ht="15.75" customHeight="1" x14ac:dyDescent="0.25">
      <c r="A951" s="26"/>
      <c r="B951" s="26"/>
    </row>
    <row r="952" spans="1:2" ht="15.75" customHeight="1" x14ac:dyDescent="0.25">
      <c r="A952" s="26"/>
      <c r="B952" s="26"/>
    </row>
    <row r="953" spans="1:2" ht="15.75" customHeight="1" x14ac:dyDescent="0.25">
      <c r="A953" s="26"/>
      <c r="B953" s="26"/>
    </row>
    <row r="954" spans="1:2" ht="15.75" customHeight="1" x14ac:dyDescent="0.25">
      <c r="A954" s="26"/>
      <c r="B954" s="26"/>
    </row>
    <row r="955" spans="1:2" ht="15.75" customHeight="1" x14ac:dyDescent="0.25">
      <c r="A955" s="26"/>
      <c r="B955" s="26"/>
    </row>
    <row r="956" spans="1:2" ht="15.75" customHeight="1" x14ac:dyDescent="0.25">
      <c r="A956" s="26"/>
      <c r="B956" s="26"/>
    </row>
    <row r="957" spans="1:2" ht="15.75" customHeight="1" x14ac:dyDescent="0.25">
      <c r="A957" s="26"/>
      <c r="B957" s="26"/>
    </row>
    <row r="958" spans="1:2" ht="15.75" customHeight="1" x14ac:dyDescent="0.25">
      <c r="A958" s="26"/>
      <c r="B958" s="26"/>
    </row>
    <row r="959" spans="1:2" ht="15.75" customHeight="1" x14ac:dyDescent="0.25">
      <c r="A959" s="26"/>
      <c r="B959" s="26"/>
    </row>
    <row r="960" spans="1:2" ht="15.75" customHeight="1" x14ac:dyDescent="0.25">
      <c r="A960" s="26"/>
      <c r="B960" s="26"/>
    </row>
    <row r="961" spans="1:2" ht="15.75" customHeight="1" x14ac:dyDescent="0.25">
      <c r="A961" s="26"/>
      <c r="B961" s="26"/>
    </row>
    <row r="962" spans="1:2" ht="15.75" customHeight="1" x14ac:dyDescent="0.25">
      <c r="A962" s="26"/>
      <c r="B962" s="26"/>
    </row>
    <row r="963" spans="1:2" ht="15.75" customHeight="1" x14ac:dyDescent="0.25">
      <c r="A963" s="26"/>
      <c r="B963" s="26"/>
    </row>
    <row r="964" spans="1:2" ht="15.75" customHeight="1" x14ac:dyDescent="0.25">
      <c r="A964" s="26"/>
      <c r="B964" s="26"/>
    </row>
    <row r="965" spans="1:2" ht="15.75" customHeight="1" x14ac:dyDescent="0.25">
      <c r="A965" s="26"/>
      <c r="B965" s="26"/>
    </row>
    <row r="966" spans="1:2" ht="15.75" customHeight="1" x14ac:dyDescent="0.25">
      <c r="A966" s="26"/>
      <c r="B966" s="26"/>
    </row>
    <row r="967" spans="1:2" ht="15.75" customHeight="1" x14ac:dyDescent="0.25">
      <c r="A967" s="26"/>
      <c r="B967" s="26"/>
    </row>
    <row r="968" spans="1:2" ht="15.75" customHeight="1" x14ac:dyDescent="0.25">
      <c r="A968" s="26"/>
      <c r="B968" s="26"/>
    </row>
    <row r="969" spans="1:2" ht="15.75" customHeight="1" x14ac:dyDescent="0.25">
      <c r="A969" s="26"/>
      <c r="B969" s="26"/>
    </row>
    <row r="970" spans="1:2" ht="15.75" customHeight="1" x14ac:dyDescent="0.25">
      <c r="A970" s="26"/>
      <c r="B970" s="26"/>
    </row>
    <row r="971" spans="1:2" ht="15.75" customHeight="1" x14ac:dyDescent="0.25">
      <c r="A971" s="26"/>
      <c r="B971" s="26"/>
    </row>
    <row r="972" spans="1:2" ht="15.75" customHeight="1" x14ac:dyDescent="0.25">
      <c r="A972" s="26"/>
      <c r="B972" s="26"/>
    </row>
    <row r="973" spans="1:2" ht="15.75" customHeight="1" x14ac:dyDescent="0.25">
      <c r="A973" s="26"/>
      <c r="B973" s="26"/>
    </row>
    <row r="974" spans="1:2" ht="15.75" customHeight="1" x14ac:dyDescent="0.25">
      <c r="A974" s="26"/>
      <c r="B974" s="26"/>
    </row>
    <row r="975" spans="1:2" ht="15.75" customHeight="1" x14ac:dyDescent="0.25">
      <c r="A975" s="26"/>
      <c r="B975" s="26"/>
    </row>
    <row r="976" spans="1:2" ht="15.75" customHeight="1" x14ac:dyDescent="0.25">
      <c r="A976" s="26"/>
      <c r="B976" s="26"/>
    </row>
    <row r="977" spans="1:2" ht="15.75" customHeight="1" x14ac:dyDescent="0.25">
      <c r="A977" s="26"/>
      <c r="B977" s="26"/>
    </row>
    <row r="978" spans="1:2" ht="15.75" customHeight="1" x14ac:dyDescent="0.25">
      <c r="A978" s="26"/>
      <c r="B978" s="26"/>
    </row>
    <row r="979" spans="1:2" ht="15.75" customHeight="1" x14ac:dyDescent="0.25">
      <c r="A979" s="26"/>
      <c r="B979" s="26"/>
    </row>
    <row r="980" spans="1:2" ht="15.75" customHeight="1" x14ac:dyDescent="0.25">
      <c r="A980" s="26"/>
      <c r="B980" s="26"/>
    </row>
    <row r="981" spans="1:2" ht="15.75" customHeight="1" x14ac:dyDescent="0.25">
      <c r="A981" s="26"/>
      <c r="B981" s="26"/>
    </row>
    <row r="982" spans="1:2" ht="15.75" customHeight="1" x14ac:dyDescent="0.25">
      <c r="A982" s="26"/>
      <c r="B982" s="26"/>
    </row>
    <row r="983" spans="1:2" ht="15.75" customHeight="1" x14ac:dyDescent="0.25">
      <c r="A983" s="26"/>
      <c r="B983" s="26"/>
    </row>
    <row r="984" spans="1:2" ht="15.75" customHeight="1" x14ac:dyDescent="0.25">
      <c r="A984" s="26"/>
      <c r="B984" s="26"/>
    </row>
    <row r="985" spans="1:2" ht="15.75" customHeight="1" x14ac:dyDescent="0.25">
      <c r="A985" s="26"/>
      <c r="B985" s="26"/>
    </row>
    <row r="986" spans="1:2" ht="15.75" customHeight="1" x14ac:dyDescent="0.25">
      <c r="A986" s="26"/>
      <c r="B986" s="26"/>
    </row>
    <row r="987" spans="1:2" ht="15.75" customHeight="1" x14ac:dyDescent="0.25">
      <c r="A987" s="26"/>
      <c r="B987" s="26"/>
    </row>
    <row r="988" spans="1:2" ht="15.75" customHeight="1" x14ac:dyDescent="0.25">
      <c r="A988" s="26"/>
      <c r="B988" s="26"/>
    </row>
    <row r="989" spans="1:2" ht="15.75" customHeight="1" x14ac:dyDescent="0.25">
      <c r="A989" s="26"/>
      <c r="B989" s="26"/>
    </row>
    <row r="990" spans="1:2" ht="15.75" customHeight="1" x14ac:dyDescent="0.25">
      <c r="A990" s="26"/>
      <c r="B990" s="26"/>
    </row>
    <row r="991" spans="1:2" ht="15.75" customHeight="1" x14ac:dyDescent="0.25">
      <c r="A991" s="26"/>
      <c r="B991" s="26"/>
    </row>
    <row r="992" spans="1:2" ht="15.75" customHeight="1" x14ac:dyDescent="0.25">
      <c r="A992" s="26"/>
      <c r="B992" s="26"/>
    </row>
    <row r="993" spans="1:2" ht="15.75" customHeight="1" x14ac:dyDescent="0.25">
      <c r="A993" s="26"/>
      <c r="B993" s="26"/>
    </row>
    <row r="994" spans="1:2" ht="15.75" customHeight="1" x14ac:dyDescent="0.25">
      <c r="A994" s="26"/>
      <c r="B994" s="26"/>
    </row>
    <row r="995" spans="1:2" ht="15.75" customHeight="1" x14ac:dyDescent="0.25">
      <c r="A995" s="26"/>
      <c r="B995" s="26"/>
    </row>
    <row r="996" spans="1:2" ht="15.75" customHeight="1" x14ac:dyDescent="0.25">
      <c r="A996" s="26"/>
      <c r="B996" s="26"/>
    </row>
    <row r="997" spans="1:2" ht="15.75" customHeight="1" x14ac:dyDescent="0.25">
      <c r="A997" s="26"/>
      <c r="B997" s="26"/>
    </row>
    <row r="998" spans="1:2" ht="15.75" customHeight="1" x14ac:dyDescent="0.25">
      <c r="A998" s="26"/>
      <c r="B998" s="26"/>
    </row>
    <row r="999" spans="1:2" ht="15.75" customHeight="1" x14ac:dyDescent="0.25">
      <c r="A999" s="26"/>
      <c r="B999" s="26"/>
    </row>
    <row r="1000" spans="1:2" ht="15.75" customHeight="1" x14ac:dyDescent="0.25">
      <c r="A1000" s="26"/>
      <c r="B1000" s="26"/>
    </row>
    <row r="1001" spans="1:2" ht="15.75" customHeight="1" x14ac:dyDescent="0.25">
      <c r="A1001" s="26"/>
      <c r="B1001" s="26"/>
    </row>
    <row r="1002" spans="1:2" ht="15.75" customHeight="1" x14ac:dyDescent="0.25">
      <c r="A1002" s="26"/>
      <c r="B1002" s="26"/>
    </row>
    <row r="1003" spans="1:2" ht="15.75" customHeight="1" x14ac:dyDescent="0.25">
      <c r="A1003" s="26"/>
      <c r="B1003" s="26"/>
    </row>
    <row r="1004" spans="1:2" ht="15.75" customHeight="1" x14ac:dyDescent="0.25">
      <c r="A1004" s="26"/>
      <c r="B1004" s="26"/>
    </row>
    <row r="1005" spans="1:2" ht="15.75" customHeight="1" x14ac:dyDescent="0.25">
      <c r="A1005" s="26"/>
      <c r="B1005" s="26"/>
    </row>
    <row r="1006" spans="1:2" ht="15.75" customHeight="1" x14ac:dyDescent="0.25">
      <c r="A1006" s="26"/>
      <c r="B1006" s="26"/>
    </row>
    <row r="1007" spans="1:2" ht="15.75" customHeight="1" x14ac:dyDescent="0.25">
      <c r="A1007" s="26"/>
      <c r="B1007" s="26"/>
    </row>
    <row r="1008" spans="1:2" ht="15.75" customHeight="1" x14ac:dyDescent="0.25">
      <c r="A1008" s="26"/>
      <c r="B1008" s="26"/>
    </row>
    <row r="1009" spans="1:2" ht="15.75" customHeight="1" x14ac:dyDescent="0.25">
      <c r="A1009" s="26"/>
      <c r="B1009" s="26"/>
    </row>
    <row r="1010" spans="1:2" ht="15.75" customHeight="1" x14ac:dyDescent="0.25">
      <c r="A1010" s="26"/>
      <c r="B1010" s="26"/>
    </row>
    <row r="1011" spans="1:2" ht="15.75" customHeight="1" x14ac:dyDescent="0.25">
      <c r="A1011" s="26"/>
      <c r="B1011" s="26"/>
    </row>
    <row r="1012" spans="1:2" ht="15.75" customHeight="1" x14ac:dyDescent="0.25">
      <c r="A1012" s="26"/>
      <c r="B1012" s="26"/>
    </row>
    <row r="1013" spans="1:2" ht="15.75" customHeight="1" x14ac:dyDescent="0.25">
      <c r="A1013" s="26"/>
      <c r="B1013" s="26"/>
    </row>
    <row r="1014" spans="1:2" ht="15.75" customHeight="1" x14ac:dyDescent="0.25">
      <c r="A1014" s="26"/>
      <c r="B1014" s="26"/>
    </row>
    <row r="1015" spans="1:2" ht="15.75" customHeight="1" x14ac:dyDescent="0.25">
      <c r="A1015" s="26"/>
      <c r="B1015" s="26"/>
    </row>
    <row r="1016" spans="1:2" ht="15.75" customHeight="1" x14ac:dyDescent="0.25">
      <c r="A1016" s="26"/>
      <c r="B1016" s="26"/>
    </row>
    <row r="1017" spans="1:2" ht="15.75" customHeight="1" x14ac:dyDescent="0.25">
      <c r="A1017" s="26"/>
      <c r="B1017" s="26"/>
    </row>
    <row r="1018" spans="1:2" ht="15.75" customHeight="1" x14ac:dyDescent="0.25">
      <c r="A1018" s="26"/>
      <c r="B1018" s="26"/>
    </row>
    <row r="1019" spans="1:2" ht="15.75" customHeight="1" x14ac:dyDescent="0.25">
      <c r="A1019" s="26"/>
      <c r="B1019" s="26"/>
    </row>
    <row r="1020" spans="1:2" ht="15.75" customHeight="1" x14ac:dyDescent="0.25">
      <c r="A1020" s="26"/>
      <c r="B1020" s="26"/>
    </row>
    <row r="1021" spans="1:2" ht="15.75" customHeight="1" x14ac:dyDescent="0.25">
      <c r="A1021" s="26"/>
      <c r="B1021" s="26"/>
    </row>
    <row r="1022" spans="1:2" ht="15.75" customHeight="1" x14ac:dyDescent="0.25">
      <c r="A1022" s="26"/>
      <c r="B1022" s="26"/>
    </row>
    <row r="1023" spans="1:2" ht="15.75" customHeight="1" x14ac:dyDescent="0.25">
      <c r="A1023" s="26"/>
      <c r="B1023" s="26"/>
    </row>
    <row r="1024" spans="1:2" ht="15.75" customHeight="1" x14ac:dyDescent="0.25">
      <c r="A1024" s="26"/>
      <c r="B1024" s="26"/>
    </row>
    <row r="1025" spans="1:2" ht="15.75" customHeight="1" x14ac:dyDescent="0.25">
      <c r="A1025" s="26"/>
      <c r="B1025" s="26"/>
    </row>
    <row r="1026" spans="1:2" ht="15.75" customHeight="1" x14ac:dyDescent="0.25">
      <c r="A1026" s="26"/>
      <c r="B1026" s="26"/>
    </row>
    <row r="1027" spans="1:2" ht="15.75" customHeight="1" x14ac:dyDescent="0.25">
      <c r="A1027" s="26"/>
      <c r="B1027" s="26"/>
    </row>
    <row r="1028" spans="1:2" ht="15.75" customHeight="1" x14ac:dyDescent="0.25">
      <c r="A1028" s="26"/>
      <c r="B1028" s="26"/>
    </row>
    <row r="1029" spans="1:2" ht="15.75" customHeight="1" x14ac:dyDescent="0.25">
      <c r="A1029" s="26"/>
      <c r="B1029" s="26"/>
    </row>
    <row r="1030" spans="1:2" ht="15.75" customHeight="1" x14ac:dyDescent="0.25">
      <c r="A1030" s="26"/>
      <c r="B1030" s="26"/>
    </row>
    <row r="1031" spans="1:2" ht="15.75" customHeight="1" x14ac:dyDescent="0.25">
      <c r="A1031" s="26"/>
      <c r="B1031" s="26"/>
    </row>
    <row r="1032" spans="1:2" ht="15.75" customHeight="1" x14ac:dyDescent="0.25">
      <c r="A1032" s="26"/>
      <c r="B1032" s="26"/>
    </row>
    <row r="1033" spans="1:2" ht="15.75" customHeight="1" x14ac:dyDescent="0.25">
      <c r="A1033" s="26"/>
      <c r="B1033" s="26"/>
    </row>
    <row r="1034" spans="1:2" ht="15.75" customHeight="1" x14ac:dyDescent="0.25">
      <c r="A1034" s="26"/>
      <c r="B1034" s="26"/>
    </row>
    <row r="1035" spans="1:2" ht="15.75" customHeight="1" x14ac:dyDescent="0.25">
      <c r="A1035" s="26"/>
      <c r="B1035" s="26"/>
    </row>
    <row r="1036" spans="1:2" ht="15.75" customHeight="1" x14ac:dyDescent="0.25">
      <c r="A1036" s="26"/>
      <c r="B1036" s="26"/>
    </row>
    <row r="1037" spans="1:2" ht="15.75" customHeight="1" x14ac:dyDescent="0.25">
      <c r="A1037" s="26"/>
      <c r="B1037" s="26"/>
    </row>
    <row r="1038" spans="1:2" ht="15.75" customHeight="1" x14ac:dyDescent="0.25">
      <c r="A1038" s="26"/>
      <c r="B1038" s="26"/>
    </row>
    <row r="1039" spans="1:2" ht="15.75" customHeight="1" x14ac:dyDescent="0.25">
      <c r="A1039" s="26"/>
      <c r="B1039" s="26"/>
    </row>
    <row r="1040" spans="1:2" ht="15.75" customHeight="1" x14ac:dyDescent="0.25">
      <c r="A1040" s="26"/>
      <c r="B1040" s="26"/>
    </row>
    <row r="1041" spans="1:2" ht="15.75" customHeight="1" x14ac:dyDescent="0.25">
      <c r="A1041" s="26"/>
      <c r="B1041" s="26"/>
    </row>
    <row r="1042" spans="1:2" ht="15.75" customHeight="1" x14ac:dyDescent="0.25">
      <c r="A1042" s="26"/>
      <c r="B1042" s="26"/>
    </row>
    <row r="1043" spans="1:2" ht="15.75" customHeight="1" x14ac:dyDescent="0.25">
      <c r="A1043" s="26"/>
      <c r="B1043" s="26"/>
    </row>
    <row r="1044" spans="1:2" ht="15.75" customHeight="1" x14ac:dyDescent="0.25">
      <c r="A1044" s="26"/>
      <c r="B1044" s="26"/>
    </row>
    <row r="1045" spans="1:2" ht="15.75" customHeight="1" x14ac:dyDescent="0.25">
      <c r="A1045" s="26"/>
      <c r="B1045" s="26"/>
    </row>
    <row r="1046" spans="1:2" ht="15.75" customHeight="1" x14ac:dyDescent="0.25">
      <c r="A1046" s="26"/>
      <c r="B1046" s="26"/>
    </row>
    <row r="1047" spans="1:2" ht="15.75" customHeight="1" x14ac:dyDescent="0.25">
      <c r="A1047" s="26"/>
      <c r="B1047" s="26"/>
    </row>
    <row r="1048" spans="1:2" ht="15.75" customHeight="1" x14ac:dyDescent="0.25">
      <c r="A1048" s="26"/>
      <c r="B1048" s="26"/>
    </row>
    <row r="1049" spans="1:2" ht="15.75" customHeight="1" x14ac:dyDescent="0.25">
      <c r="A1049" s="26"/>
      <c r="B1049" s="26"/>
    </row>
    <row r="1050" spans="1:2" ht="15.75" customHeight="1" x14ac:dyDescent="0.25">
      <c r="A1050" s="26"/>
      <c r="B1050" s="26"/>
    </row>
    <row r="1051" spans="1:2" ht="15.75" customHeight="1" x14ac:dyDescent="0.25">
      <c r="A1051" s="26"/>
      <c r="B1051" s="26"/>
    </row>
    <row r="1052" spans="1:2" ht="15.75" customHeight="1" x14ac:dyDescent="0.25">
      <c r="A1052" s="26"/>
      <c r="B1052" s="26"/>
    </row>
    <row r="1053" spans="1:2" ht="15.75" customHeight="1" x14ac:dyDescent="0.25">
      <c r="A1053" s="26"/>
      <c r="B1053" s="26"/>
    </row>
    <row r="1054" spans="1:2" ht="15.75" customHeight="1" x14ac:dyDescent="0.25">
      <c r="A1054" s="26"/>
      <c r="B1054" s="26"/>
    </row>
    <row r="1055" spans="1:2" ht="15.75" customHeight="1" x14ac:dyDescent="0.25">
      <c r="A1055" s="26"/>
      <c r="B1055" s="26"/>
    </row>
    <row r="1056" spans="1:2" ht="15.75" customHeight="1" x14ac:dyDescent="0.25">
      <c r="A1056" s="26"/>
      <c r="B1056" s="26"/>
    </row>
    <row r="1057" spans="1:2" ht="15.75" customHeight="1" x14ac:dyDescent="0.25">
      <c r="A1057" s="26"/>
      <c r="B1057" s="26"/>
    </row>
    <row r="1058" spans="1:2" ht="15.75" customHeight="1" x14ac:dyDescent="0.25">
      <c r="A1058" s="26"/>
      <c r="B1058" s="26"/>
    </row>
    <row r="1059" spans="1:2" ht="15.75" customHeight="1" x14ac:dyDescent="0.25">
      <c r="A1059" s="26"/>
      <c r="B1059" s="26"/>
    </row>
    <row r="1060" spans="1:2" ht="15.75" customHeight="1" x14ac:dyDescent="0.25">
      <c r="A1060" s="26"/>
      <c r="B1060" s="26"/>
    </row>
    <row r="1061" spans="1:2" ht="15.75" customHeight="1" x14ac:dyDescent="0.25">
      <c r="A1061" s="26"/>
      <c r="B1061" s="26"/>
    </row>
    <row r="1062" spans="1:2" ht="15.75" customHeight="1" x14ac:dyDescent="0.25">
      <c r="A1062" s="26"/>
      <c r="B1062" s="26"/>
    </row>
    <row r="1063" spans="1:2" ht="15.75" customHeight="1" x14ac:dyDescent="0.25">
      <c r="A1063" s="26"/>
      <c r="B1063" s="26"/>
    </row>
    <row r="1064" spans="1:2" ht="15.75" customHeight="1" x14ac:dyDescent="0.25">
      <c r="A1064" s="26"/>
      <c r="B1064" s="26"/>
    </row>
    <row r="1065" spans="1:2" ht="15.75" customHeight="1" x14ac:dyDescent="0.25">
      <c r="A1065" s="26"/>
      <c r="B1065" s="26"/>
    </row>
    <row r="1066" spans="1:2" ht="15.75" customHeight="1" x14ac:dyDescent="0.25">
      <c r="A1066" s="26"/>
      <c r="B1066" s="26"/>
    </row>
    <row r="1067" spans="1:2" ht="15.75" customHeight="1" x14ac:dyDescent="0.25">
      <c r="A1067" s="26"/>
      <c r="B1067" s="26"/>
    </row>
    <row r="1068" spans="1:2" ht="15.75" customHeight="1" x14ac:dyDescent="0.25">
      <c r="A1068" s="26"/>
      <c r="B1068" s="26"/>
    </row>
    <row r="1069" spans="1:2" ht="15.75" customHeight="1" x14ac:dyDescent="0.25">
      <c r="A1069" s="26"/>
      <c r="B1069" s="26"/>
    </row>
    <row r="1070" spans="1:2" ht="15.75" customHeight="1" x14ac:dyDescent="0.25">
      <c r="A1070" s="26"/>
      <c r="B1070" s="26"/>
    </row>
    <row r="1071" spans="1:2" ht="15.75" customHeight="1" x14ac:dyDescent="0.25">
      <c r="A1071" s="26"/>
      <c r="B1071" s="26"/>
    </row>
    <row r="1072" spans="1:2" ht="15.75" customHeight="1" x14ac:dyDescent="0.25">
      <c r="A1072" s="26"/>
      <c r="B1072" s="26"/>
    </row>
    <row r="1073" spans="1:2" ht="15.75" customHeight="1" x14ac:dyDescent="0.25">
      <c r="A1073" s="26"/>
      <c r="B1073" s="26"/>
    </row>
    <row r="1074" spans="1:2" ht="15.75" customHeight="1" x14ac:dyDescent="0.25">
      <c r="A1074" s="26"/>
      <c r="B1074" s="26"/>
    </row>
    <row r="1075" spans="1:2" ht="15.75" customHeight="1" x14ac:dyDescent="0.25">
      <c r="A1075" s="26"/>
      <c r="B1075" s="26"/>
    </row>
    <row r="1076" spans="1:2" ht="15.75" customHeight="1" x14ac:dyDescent="0.25">
      <c r="A1076" s="26"/>
      <c r="B1076" s="26"/>
    </row>
    <row r="1077" spans="1:2" ht="15.75" customHeight="1" x14ac:dyDescent="0.25">
      <c r="A1077" s="26"/>
      <c r="B1077" s="26"/>
    </row>
    <row r="1078" spans="1:2" ht="15.75" customHeight="1" x14ac:dyDescent="0.25">
      <c r="A1078" s="26"/>
      <c r="B1078" s="26"/>
    </row>
    <row r="1079" spans="1:2" ht="15.75" customHeight="1" x14ac:dyDescent="0.25">
      <c r="A1079" s="26"/>
      <c r="B1079" s="26"/>
    </row>
    <row r="1080" spans="1:2" ht="15.75" customHeight="1" x14ac:dyDescent="0.25">
      <c r="A1080" s="26"/>
      <c r="B1080" s="26"/>
    </row>
    <row r="1081" spans="1:2" ht="15.75" customHeight="1" x14ac:dyDescent="0.25">
      <c r="A1081" s="26"/>
      <c r="B1081" s="26"/>
    </row>
    <row r="1082" spans="1:2" ht="15.75" customHeight="1" x14ac:dyDescent="0.25">
      <c r="A1082" s="26"/>
      <c r="B1082" s="26"/>
    </row>
    <row r="1083" spans="1:2" ht="15.75" customHeight="1" x14ac:dyDescent="0.25">
      <c r="A1083" s="26"/>
      <c r="B1083" s="26"/>
    </row>
    <row r="1084" spans="1:2" ht="15.75" customHeight="1" x14ac:dyDescent="0.25">
      <c r="A1084" s="26"/>
      <c r="B1084" s="26"/>
    </row>
    <row r="1085" spans="1:2" ht="15.75" customHeight="1" x14ac:dyDescent="0.25">
      <c r="A1085" s="26"/>
      <c r="B1085" s="26"/>
    </row>
    <row r="1086" spans="1:2" ht="15.75" customHeight="1" x14ac:dyDescent="0.25">
      <c r="A1086" s="26"/>
      <c r="B1086" s="26"/>
    </row>
    <row r="1087" spans="1:2" ht="15.75" customHeight="1" x14ac:dyDescent="0.25">
      <c r="A1087" s="26"/>
      <c r="B1087" s="26"/>
    </row>
    <row r="1088" spans="1:2" ht="15.75" customHeight="1" x14ac:dyDescent="0.25">
      <c r="A1088" s="26"/>
      <c r="B1088" s="26"/>
    </row>
    <row r="1089" spans="1:2" ht="15.75" customHeight="1" x14ac:dyDescent="0.25">
      <c r="A1089" s="26"/>
      <c r="B1089" s="26"/>
    </row>
    <row r="1090" spans="1:2" ht="15.75" customHeight="1" x14ac:dyDescent="0.25">
      <c r="A1090" s="26"/>
      <c r="B1090" s="26"/>
    </row>
    <row r="1091" spans="1:2" ht="15.75" customHeight="1" x14ac:dyDescent="0.25">
      <c r="A1091" s="26"/>
      <c r="B1091" s="26"/>
    </row>
    <row r="1092" spans="1:2" ht="15.75" customHeight="1" x14ac:dyDescent="0.25">
      <c r="A1092" s="26"/>
      <c r="B1092" s="26"/>
    </row>
    <row r="1093" spans="1:2" ht="15.75" customHeight="1" x14ac:dyDescent="0.25">
      <c r="A1093" s="26"/>
      <c r="B1093" s="26"/>
    </row>
    <row r="1094" spans="1:2" ht="15.75" customHeight="1" x14ac:dyDescent="0.25">
      <c r="A1094" s="26"/>
      <c r="B1094" s="26"/>
    </row>
    <row r="1095" spans="1:2" ht="15.75" customHeight="1" x14ac:dyDescent="0.25">
      <c r="A1095" s="26"/>
      <c r="B1095" s="26"/>
    </row>
    <row r="1096" spans="1:2" ht="15.75" customHeight="1" x14ac:dyDescent="0.25">
      <c r="A1096" s="26"/>
      <c r="B1096" s="26"/>
    </row>
    <row r="1097" spans="1:2" ht="15.75" customHeight="1" x14ac:dyDescent="0.25">
      <c r="A1097" s="26"/>
      <c r="B1097" s="26"/>
    </row>
    <row r="1098" spans="1:2" ht="15.75" customHeight="1" x14ac:dyDescent="0.25">
      <c r="A1098" s="26"/>
      <c r="B1098" s="26"/>
    </row>
  </sheetData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150"/>
  <sheetViews>
    <sheetView tabSelected="1" topLeftCell="A55" workbookViewId="0"/>
  </sheetViews>
  <sheetFormatPr baseColWidth="10" defaultColWidth="14.42578125" defaultRowHeight="15" customHeight="1" x14ac:dyDescent="0.25"/>
  <cols>
    <col min="1" max="1" width="22.28515625" customWidth="1"/>
    <col min="2" max="2" width="18.85546875" customWidth="1"/>
    <col min="3" max="3" width="16.140625" customWidth="1"/>
    <col min="4" max="4" width="13.7109375" customWidth="1"/>
    <col min="5" max="5" width="13.42578125" customWidth="1"/>
    <col min="6" max="6" width="11.85546875" customWidth="1"/>
  </cols>
  <sheetData>
    <row r="1" spans="1:6" x14ac:dyDescent="0.25">
      <c r="A1" s="2" t="s">
        <v>0</v>
      </c>
      <c r="B1" s="2" t="s">
        <v>1</v>
      </c>
    </row>
    <row r="4" spans="1:6" x14ac:dyDescent="0.25">
      <c r="A4" s="5" t="s">
        <v>2</v>
      </c>
      <c r="B4" s="5"/>
      <c r="C4" s="5"/>
      <c r="D4" s="5"/>
      <c r="E4" s="5"/>
      <c r="F4" s="5"/>
    </row>
    <row r="5" spans="1:6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</row>
    <row r="6" spans="1:6" x14ac:dyDescent="0.25">
      <c r="A6" s="2">
        <f ca="1">IFERROR(__xludf.DUMMYFUNCTION("LET(
  _d1, QUERY('Dag 1'!A6:G37, ""select A, C, D, F, G where A is not null"", 0), 
  _d2, QUERY('Dag 2'!A6:G37, ""select A, C, D, F, G where A is not null"", 0), 
  _d3, QUERY('Dag 3'!A6:G37, ""select A, C, D, F, G where A is not null"", 0), 
  _base, Q"&amp;"UERY({_d1; _d2; _d3}, ""select Col1, Col2, Col3, Col4, sum(Col5) where Col1 is not null group by Col1, Col2, Col3, Col4 order by sum(Col5) desc label sum(Col5) ''"", 0), 
  HSTACK(CHOOSECOLS(_base, 1), SEQUENCE(ROWS(_base)), CHOOSECOLS(_base, 2, 3, 4, 5))"&amp;"
)"),4164)</f>
        <v>4164</v>
      </c>
      <c r="B6" s="2">
        <f ca="1">IFERROR(__xludf.DUMMYFUNCTION("""COMPUTED_VALUE"""),1)</f>
        <v>1</v>
      </c>
      <c r="C6" s="2" t="str">
        <f ca="1">IFERROR(__xludf.DUMMYFUNCTION("""COMPUTED_VALUE"""),"Thomas")</f>
        <v>Thomas</v>
      </c>
      <c r="D6" s="2" t="str">
        <f ca="1">IFERROR(__xludf.DUMMYFUNCTION("""COMPUTED_VALUE"""),"Skarstein")</f>
        <v>Skarstein</v>
      </c>
      <c r="E6" s="2" t="str">
        <f ca="1">IFERROR(__xludf.DUMMYFUNCTION("""COMPUTED_VALUE"""),"Nord Jæren 1")</f>
        <v>Nord Jæren 1</v>
      </c>
      <c r="F6" s="12">
        <f ca="1">IFERROR(__xludf.DUMMYFUNCTION("""COMPUTED_VALUE"""),336.41)</f>
        <v>336.41</v>
      </c>
    </row>
    <row r="7" spans="1:6" x14ac:dyDescent="0.25">
      <c r="A7" s="2">
        <f ca="1">IFERROR(__xludf.DUMMYFUNCTION("""COMPUTED_VALUE"""),3512)</f>
        <v>3512</v>
      </c>
      <c r="B7" s="2">
        <f ca="1">IFERROR(__xludf.DUMMYFUNCTION("""COMPUTED_VALUE"""),2)</f>
        <v>2</v>
      </c>
      <c r="C7" s="2" t="str">
        <f ca="1">IFERROR(__xludf.DUMMYFUNCTION("""COMPUTED_VALUE"""),"Helge")</f>
        <v>Helge</v>
      </c>
      <c r="D7" s="2" t="str">
        <f ca="1">IFERROR(__xludf.DUMMYFUNCTION("""COMPUTED_VALUE"""),"Melhus")</f>
        <v>Melhus</v>
      </c>
      <c r="E7" s="2" t="str">
        <f ca="1">IFERROR(__xludf.DUMMYFUNCTION("""COMPUTED_VALUE"""),"Mix 1")</f>
        <v>Mix 1</v>
      </c>
      <c r="F7" s="12">
        <f ca="1">IFERROR(__xludf.DUMMYFUNCTION("""COMPUTED_VALUE"""),325.82)</f>
        <v>325.82</v>
      </c>
    </row>
    <row r="8" spans="1:6" x14ac:dyDescent="0.25">
      <c r="A8" s="2">
        <f ca="1">IFERROR(__xludf.DUMMYFUNCTION("""COMPUTED_VALUE"""),4152)</f>
        <v>4152</v>
      </c>
      <c r="B8" s="2">
        <f ca="1">IFERROR(__xludf.DUMMYFUNCTION("""COMPUTED_VALUE"""),3)</f>
        <v>3</v>
      </c>
      <c r="C8" s="2" t="str">
        <f ca="1">IFERROR(__xludf.DUMMYFUNCTION("""COMPUTED_VALUE"""),"Kjell Garmann")</f>
        <v>Kjell Garmann</v>
      </c>
      <c r="D8" s="2" t="str">
        <f ca="1">IFERROR(__xludf.DUMMYFUNCTION("""COMPUTED_VALUE"""),"Skjæveland")</f>
        <v>Skjæveland</v>
      </c>
      <c r="E8" s="2" t="str">
        <f ca="1">IFERROR(__xludf.DUMMYFUNCTION("""COMPUTED_VALUE"""),"Mix 2")</f>
        <v>Mix 2</v>
      </c>
      <c r="F8" s="12">
        <f ca="1">IFERROR(__xludf.DUMMYFUNCTION("""COMPUTED_VALUE"""),256.98)</f>
        <v>256.98</v>
      </c>
    </row>
    <row r="9" spans="1:6" x14ac:dyDescent="0.25">
      <c r="A9" s="2">
        <f ca="1">IFERROR(__xludf.DUMMYFUNCTION("""COMPUTED_VALUE"""),2001)</f>
        <v>2001</v>
      </c>
      <c r="B9" s="2">
        <f ca="1">IFERROR(__xludf.DUMMYFUNCTION("""COMPUTED_VALUE"""),4)</f>
        <v>4</v>
      </c>
      <c r="C9" s="2" t="str">
        <f ca="1">IFERROR(__xludf.DUMMYFUNCTION("""COMPUTED_VALUE"""),"Lars Erik")</f>
        <v>Lars Erik</v>
      </c>
      <c r="D9" s="2" t="str">
        <f ca="1">IFERROR(__xludf.DUMMYFUNCTION("""COMPUTED_VALUE"""),"Berg")</f>
        <v>Berg</v>
      </c>
      <c r="E9" s="2" t="str">
        <f ca="1">IFERROR(__xludf.DUMMYFUNCTION("""COMPUTED_VALUE"""),"Botne 1")</f>
        <v>Botne 1</v>
      </c>
      <c r="F9" s="12">
        <f ca="1">IFERROR(__xludf.DUMMYFUNCTION("""COMPUTED_VALUE"""),247.62)</f>
        <v>247.62</v>
      </c>
    </row>
    <row r="10" spans="1:6" x14ac:dyDescent="0.25">
      <c r="A10" s="2">
        <f ca="1">IFERROR(__xludf.DUMMYFUNCTION("""COMPUTED_VALUE"""),2000)</f>
        <v>2000</v>
      </c>
      <c r="B10" s="2">
        <f ca="1">IFERROR(__xludf.DUMMYFUNCTION("""COMPUTED_VALUE"""),5)</f>
        <v>5</v>
      </c>
      <c r="C10" s="2" t="str">
        <f ca="1">IFERROR(__xludf.DUMMYFUNCTION("""COMPUTED_VALUE"""),"Geir")</f>
        <v>Geir</v>
      </c>
      <c r="D10" s="2" t="str">
        <f ca="1">IFERROR(__xludf.DUMMYFUNCTION("""COMPUTED_VALUE"""),"Aronsen")</f>
        <v>Aronsen</v>
      </c>
      <c r="E10" s="2" t="str">
        <f ca="1">IFERROR(__xludf.DUMMYFUNCTION("""COMPUTED_VALUE"""),"Botne 1")</f>
        <v>Botne 1</v>
      </c>
      <c r="F10" s="12">
        <f ca="1">IFERROR(__xludf.DUMMYFUNCTION("""COMPUTED_VALUE"""),242.66)</f>
        <v>242.66</v>
      </c>
    </row>
    <row r="11" spans="1:6" x14ac:dyDescent="0.25">
      <c r="A11" s="2">
        <f ca="1">IFERROR(__xludf.DUMMYFUNCTION("""COMPUTED_VALUE"""),6324)</f>
        <v>6324</v>
      </c>
      <c r="B11" s="2">
        <f ca="1">IFERROR(__xludf.DUMMYFUNCTION("""COMPUTED_VALUE"""),6)</f>
        <v>6</v>
      </c>
      <c r="C11" s="2" t="str">
        <f ca="1">IFERROR(__xludf.DUMMYFUNCTION("""COMPUTED_VALUE"""),"Knut Arne")</f>
        <v>Knut Arne</v>
      </c>
      <c r="D11" s="2" t="str">
        <f ca="1">IFERROR(__xludf.DUMMYFUNCTION("""COMPUTED_VALUE"""),"Røyne")</f>
        <v>Røyne</v>
      </c>
      <c r="E11" s="2" t="str">
        <f ca="1">IFERROR(__xludf.DUMMYFUNCTION("""COMPUTED_VALUE"""),"Trondheim 1")</f>
        <v>Trondheim 1</v>
      </c>
      <c r="F11" s="12">
        <f ca="1">IFERROR(__xludf.DUMMYFUNCTION("""COMPUTED_VALUE"""),237.24)</f>
        <v>237.24</v>
      </c>
    </row>
    <row r="12" spans="1:6" x14ac:dyDescent="0.25">
      <c r="A12" s="2">
        <f ca="1">IFERROR(__xludf.DUMMYFUNCTION("""COMPUTED_VALUE"""),5969)</f>
        <v>5969</v>
      </c>
      <c r="B12" s="2">
        <f ca="1">IFERROR(__xludf.DUMMYFUNCTION("""COMPUTED_VALUE"""),7)</f>
        <v>7</v>
      </c>
      <c r="C12" s="2" t="str">
        <f ca="1">IFERROR(__xludf.DUMMYFUNCTION("""COMPUTED_VALUE"""),"Jonas")</f>
        <v>Jonas</v>
      </c>
      <c r="D12" s="2" t="str">
        <f ca="1">IFERROR(__xludf.DUMMYFUNCTION("""COMPUTED_VALUE"""),"Sætran")</f>
        <v>Sætran</v>
      </c>
      <c r="E12" s="2" t="str">
        <f ca="1">IFERROR(__xludf.DUMMYFUNCTION("""COMPUTED_VALUE"""),"Torungen 2")</f>
        <v>Torungen 2</v>
      </c>
      <c r="F12" s="12">
        <f ca="1">IFERROR(__xludf.DUMMYFUNCTION("""COMPUTED_VALUE"""),232.44)</f>
        <v>232.44</v>
      </c>
    </row>
    <row r="13" spans="1:6" x14ac:dyDescent="0.25">
      <c r="A13" s="2">
        <f ca="1">IFERROR(__xludf.DUMMYFUNCTION("""COMPUTED_VALUE"""),1800)</f>
        <v>1800</v>
      </c>
      <c r="B13" s="2">
        <f ca="1">IFERROR(__xludf.DUMMYFUNCTION("""COMPUTED_VALUE"""),8)</f>
        <v>8</v>
      </c>
      <c r="C13" s="2" t="str">
        <f ca="1">IFERROR(__xludf.DUMMYFUNCTION("""COMPUTED_VALUE"""),"Geir")</f>
        <v>Geir</v>
      </c>
      <c r="D13" s="2" t="str">
        <f ca="1">IFERROR(__xludf.DUMMYFUNCTION("""COMPUTED_VALUE"""),"Johannessen")</f>
        <v>Johannessen</v>
      </c>
      <c r="E13" s="2" t="str">
        <f ca="1">IFERROR(__xludf.DUMMYFUNCTION("""COMPUTED_VALUE"""),"Bergen 1")</f>
        <v>Bergen 1</v>
      </c>
      <c r="F13" s="12">
        <f ca="1">IFERROR(__xludf.DUMMYFUNCTION("""COMPUTED_VALUE"""),210.66)</f>
        <v>210.66</v>
      </c>
    </row>
    <row r="14" spans="1:6" x14ac:dyDescent="0.25">
      <c r="A14" s="2">
        <f ca="1">IFERROR(__xludf.DUMMYFUNCTION("""COMPUTED_VALUE"""),5978)</f>
        <v>5978</v>
      </c>
      <c r="B14" s="2">
        <f ca="1">IFERROR(__xludf.DUMMYFUNCTION("""COMPUTED_VALUE"""),9)</f>
        <v>9</v>
      </c>
      <c r="C14" s="2" t="str">
        <f ca="1">IFERROR(__xludf.DUMMYFUNCTION("""COMPUTED_VALUE"""),"Benjamin")</f>
        <v>Benjamin</v>
      </c>
      <c r="D14" s="2" t="str">
        <f ca="1">IFERROR(__xludf.DUMMYFUNCTION("""COMPUTED_VALUE"""),"Rønvåg")</f>
        <v>Rønvåg</v>
      </c>
      <c r="E14" s="2" t="str">
        <f ca="1">IFERROR(__xludf.DUMMYFUNCTION("""COMPUTED_VALUE"""),"Torungen 2")</f>
        <v>Torungen 2</v>
      </c>
      <c r="F14" s="12">
        <f ca="1">IFERROR(__xludf.DUMMYFUNCTION("""COMPUTED_VALUE"""),208.029999999999)</f>
        <v>208.02999999999901</v>
      </c>
    </row>
    <row r="15" spans="1:6" x14ac:dyDescent="0.25">
      <c r="A15" s="2">
        <f ca="1">IFERROR(__xludf.DUMMYFUNCTION("""COMPUTED_VALUE"""),5987)</f>
        <v>5987</v>
      </c>
      <c r="B15" s="2">
        <f ca="1">IFERROR(__xludf.DUMMYFUNCTION("""COMPUTED_VALUE"""),10)</f>
        <v>10</v>
      </c>
      <c r="C15" s="2" t="str">
        <f ca="1">IFERROR(__xludf.DUMMYFUNCTION("""COMPUTED_VALUE"""),"Rune")</f>
        <v>Rune</v>
      </c>
      <c r="D15" s="2" t="str">
        <f ca="1">IFERROR(__xludf.DUMMYFUNCTION("""COMPUTED_VALUE"""),"Skåland")</f>
        <v>Skåland</v>
      </c>
      <c r="E15" s="2" t="str">
        <f ca="1">IFERROR(__xludf.DUMMYFUNCTION("""COMPUTED_VALUE"""),"Torungen 2")</f>
        <v>Torungen 2</v>
      </c>
      <c r="F15" s="12">
        <f ca="1">IFERROR(__xludf.DUMMYFUNCTION("""COMPUTED_VALUE"""),201.82)</f>
        <v>201.82</v>
      </c>
    </row>
    <row r="16" spans="1:6" x14ac:dyDescent="0.25">
      <c r="A16" s="2">
        <f ca="1">IFERROR(__xludf.DUMMYFUNCTION("""COMPUTED_VALUE"""),4341)</f>
        <v>4341</v>
      </c>
      <c r="B16" s="2">
        <f ca="1">IFERROR(__xludf.DUMMYFUNCTION("""COMPUTED_VALUE"""),11)</f>
        <v>11</v>
      </c>
      <c r="C16" s="2" t="str">
        <f ca="1">IFERROR(__xludf.DUMMYFUNCTION("""COMPUTED_VALUE"""),"Richard")</f>
        <v>Richard</v>
      </c>
      <c r="D16" s="2" t="str">
        <f ca="1">IFERROR(__xludf.DUMMYFUNCTION("""COMPUTED_VALUE"""),"Sjursen")</f>
        <v>Sjursen</v>
      </c>
      <c r="E16" s="2" t="str">
        <f ca="1">IFERROR(__xludf.DUMMYFUNCTION("""COMPUTED_VALUE"""),"Oslo 2")</f>
        <v>Oslo 2</v>
      </c>
      <c r="F16" s="12">
        <f ca="1">IFERROR(__xludf.DUMMYFUNCTION("""COMPUTED_VALUE"""),192.26)</f>
        <v>192.26</v>
      </c>
    </row>
    <row r="17" spans="1:6" x14ac:dyDescent="0.25">
      <c r="A17" s="2">
        <f ca="1">IFERROR(__xludf.DUMMYFUNCTION("""COMPUTED_VALUE"""),4316)</f>
        <v>4316</v>
      </c>
      <c r="B17" s="2">
        <f ca="1">IFERROR(__xludf.DUMMYFUNCTION("""COMPUTED_VALUE"""),12)</f>
        <v>12</v>
      </c>
      <c r="C17" s="2" t="str">
        <f ca="1">IFERROR(__xludf.DUMMYFUNCTION("""COMPUTED_VALUE"""),"Karl")</f>
        <v>Karl</v>
      </c>
      <c r="D17" s="2" t="str">
        <f ca="1">IFERROR(__xludf.DUMMYFUNCTION("""COMPUTED_VALUE"""),"Nilsen")</f>
        <v>Nilsen</v>
      </c>
      <c r="E17" s="2" t="str">
        <f ca="1">IFERROR(__xludf.DUMMYFUNCTION("""COMPUTED_VALUE"""),"Oslo 1")</f>
        <v>Oslo 1</v>
      </c>
      <c r="F17" s="12">
        <f ca="1">IFERROR(__xludf.DUMMYFUNCTION("""COMPUTED_VALUE"""),187.18)</f>
        <v>187.18</v>
      </c>
    </row>
    <row r="18" spans="1:6" x14ac:dyDescent="0.25">
      <c r="A18" s="2">
        <f ca="1">IFERROR(__xludf.DUMMYFUNCTION("""COMPUTED_VALUE"""),4337)</f>
        <v>4337</v>
      </c>
      <c r="B18" s="2">
        <f ca="1">IFERROR(__xludf.DUMMYFUNCTION("""COMPUTED_VALUE"""),13)</f>
        <v>13</v>
      </c>
      <c r="C18" s="2" t="str">
        <f ca="1">IFERROR(__xludf.DUMMYFUNCTION("""COMPUTED_VALUE"""),"Tor Arne")</f>
        <v>Tor Arne</v>
      </c>
      <c r="D18" s="2" t="str">
        <f ca="1">IFERROR(__xludf.DUMMYFUNCTION("""COMPUTED_VALUE"""),"Rygg")</f>
        <v>Rygg</v>
      </c>
      <c r="E18" s="2" t="str">
        <f ca="1">IFERROR(__xludf.DUMMYFUNCTION("""COMPUTED_VALUE"""),"Oslo 1")</f>
        <v>Oslo 1</v>
      </c>
      <c r="F18" s="12">
        <f ca="1">IFERROR(__xludf.DUMMYFUNCTION("""COMPUTED_VALUE"""),183.079999999999)</f>
        <v>183.07999999999899</v>
      </c>
    </row>
    <row r="19" spans="1:6" x14ac:dyDescent="0.25">
      <c r="A19" s="2">
        <f ca="1">IFERROR(__xludf.DUMMYFUNCTION("""COMPUTED_VALUE"""),4136)</f>
        <v>4136</v>
      </c>
      <c r="B19" s="2">
        <f ca="1">IFERROR(__xludf.DUMMYFUNCTION("""COMPUTED_VALUE"""),14)</f>
        <v>14</v>
      </c>
      <c r="C19" s="2" t="str">
        <f ca="1">IFERROR(__xludf.DUMMYFUNCTION("""COMPUTED_VALUE"""),"Bjørn")</f>
        <v>Bjørn</v>
      </c>
      <c r="D19" s="2" t="str">
        <f ca="1">IFERROR(__xludf.DUMMYFUNCTION("""COMPUTED_VALUE"""),"Stein")</f>
        <v>Stein</v>
      </c>
      <c r="E19" s="2" t="str">
        <f ca="1">IFERROR(__xludf.DUMMYFUNCTION("""COMPUTED_VALUE"""),"Nord Jæren 1")</f>
        <v>Nord Jæren 1</v>
      </c>
      <c r="F19" s="12">
        <f ca="1">IFERROR(__xludf.DUMMYFUNCTION("""COMPUTED_VALUE"""),179.9)</f>
        <v>179.9</v>
      </c>
    </row>
    <row r="20" spans="1:6" x14ac:dyDescent="0.25">
      <c r="A20" s="2">
        <f ca="1">IFERROR(__xludf.DUMMYFUNCTION("""COMPUTED_VALUE"""),6413)</f>
        <v>6413</v>
      </c>
      <c r="B20" s="2">
        <f ca="1">IFERROR(__xludf.DUMMYFUNCTION("""COMPUTED_VALUE"""),15)</f>
        <v>15</v>
      </c>
      <c r="C20" s="2" t="str">
        <f ca="1">IFERROR(__xludf.DUMMYFUNCTION("""COMPUTED_VALUE"""),"Kjetil")</f>
        <v>Kjetil</v>
      </c>
      <c r="D20" s="2" t="str">
        <f ca="1">IFERROR(__xludf.DUMMYFUNCTION("""COMPUTED_VALUE"""),"Langvatn")</f>
        <v>Langvatn</v>
      </c>
      <c r="E20" s="2" t="str">
        <f ca="1">IFERROR(__xludf.DUMMYFUNCTION("""COMPUTED_VALUE"""),"Trondheim 1")</f>
        <v>Trondheim 1</v>
      </c>
      <c r="F20" s="12">
        <f ca="1">IFERROR(__xludf.DUMMYFUNCTION("""COMPUTED_VALUE"""),165.74)</f>
        <v>165.74</v>
      </c>
    </row>
    <row r="21" spans="1:6" x14ac:dyDescent="0.25">
      <c r="A21" s="2">
        <f ca="1">IFERROR(__xludf.DUMMYFUNCTION("""COMPUTED_VALUE"""),5982)</f>
        <v>5982</v>
      </c>
      <c r="B21" s="2">
        <f ca="1">IFERROR(__xludf.DUMMYFUNCTION("""COMPUTED_VALUE"""),16)</f>
        <v>16</v>
      </c>
      <c r="C21" s="2" t="str">
        <f ca="1">IFERROR(__xludf.DUMMYFUNCTION("""COMPUTED_VALUE"""),"Jan Tore")</f>
        <v>Jan Tore</v>
      </c>
      <c r="D21" s="2" t="str">
        <f ca="1">IFERROR(__xludf.DUMMYFUNCTION("""COMPUTED_VALUE"""),"Olsen")</f>
        <v>Olsen</v>
      </c>
      <c r="E21" s="2" t="str">
        <f ca="1">IFERROR(__xludf.DUMMYFUNCTION("""COMPUTED_VALUE"""),"Torungen 1")</f>
        <v>Torungen 1</v>
      </c>
      <c r="F21" s="12">
        <f ca="1">IFERROR(__xludf.DUMMYFUNCTION("""COMPUTED_VALUE"""),165.52)</f>
        <v>165.52</v>
      </c>
    </row>
    <row r="22" spans="1:6" x14ac:dyDescent="0.25">
      <c r="A22" s="2">
        <f ca="1">IFERROR(__xludf.DUMMYFUNCTION("""COMPUTED_VALUE"""),4229)</f>
        <v>4229</v>
      </c>
      <c r="B22" s="2">
        <f ca="1">IFERROR(__xludf.DUMMYFUNCTION("""COMPUTED_VALUE"""),17)</f>
        <v>17</v>
      </c>
      <c r="C22" s="2" t="str">
        <f ca="1">IFERROR(__xludf.DUMMYFUNCTION("""COMPUTED_VALUE"""),"Idar")</f>
        <v>Idar</v>
      </c>
      <c r="D22" s="2" t="str">
        <f ca="1">IFERROR(__xludf.DUMMYFUNCTION("""COMPUTED_VALUE"""),"Westergaard")</f>
        <v>Westergaard</v>
      </c>
      <c r="E22" s="2" t="str">
        <f ca="1">IFERROR(__xludf.DUMMYFUNCTION("""COMPUTED_VALUE"""),"Mix 2")</f>
        <v>Mix 2</v>
      </c>
      <c r="F22" s="12">
        <f ca="1">IFERROR(__xludf.DUMMYFUNCTION("""COMPUTED_VALUE"""),164.64)</f>
        <v>164.64</v>
      </c>
    </row>
    <row r="23" spans="1:6" x14ac:dyDescent="0.25">
      <c r="A23" s="2">
        <f ca="1">IFERROR(__xludf.DUMMYFUNCTION("""COMPUTED_VALUE"""),4118)</f>
        <v>4118</v>
      </c>
      <c r="B23" s="2">
        <f ca="1">IFERROR(__xludf.DUMMYFUNCTION("""COMPUTED_VALUE"""),18)</f>
        <v>18</v>
      </c>
      <c r="C23" s="2" t="str">
        <f ca="1">IFERROR(__xludf.DUMMYFUNCTION("""COMPUTED_VALUE"""),"Stig")</f>
        <v>Stig</v>
      </c>
      <c r="D23" s="2" t="str">
        <f ca="1">IFERROR(__xludf.DUMMYFUNCTION("""COMPUTED_VALUE"""),"Hetland")</f>
        <v>Hetland</v>
      </c>
      <c r="E23" s="2" t="str">
        <f ca="1">IFERROR(__xludf.DUMMYFUNCTION("""COMPUTED_VALUE"""),"Nord Jæren 1")</f>
        <v>Nord Jæren 1</v>
      </c>
      <c r="F23" s="12">
        <f ca="1">IFERROR(__xludf.DUMMYFUNCTION("""COMPUTED_VALUE"""),162.96)</f>
        <v>162.96</v>
      </c>
    </row>
    <row r="24" spans="1:6" x14ac:dyDescent="0.25">
      <c r="A24" s="2">
        <f ca="1">IFERROR(__xludf.DUMMYFUNCTION("""COMPUTED_VALUE"""),5981)</f>
        <v>5981</v>
      </c>
      <c r="B24" s="2">
        <f ca="1">IFERROR(__xludf.DUMMYFUNCTION("""COMPUTED_VALUE"""),19)</f>
        <v>19</v>
      </c>
      <c r="C24" s="2" t="str">
        <f ca="1">IFERROR(__xludf.DUMMYFUNCTION("""COMPUTED_VALUE"""),"Herman Z")</f>
        <v>Herman Z</v>
      </c>
      <c r="D24" s="2" t="str">
        <f ca="1">IFERROR(__xludf.DUMMYFUNCTION("""COMPUTED_VALUE"""),"Krokstadholm")</f>
        <v>Krokstadholm</v>
      </c>
      <c r="E24" s="2" t="str">
        <f ca="1">IFERROR(__xludf.DUMMYFUNCTION("""COMPUTED_VALUE"""),"Torungen 1")</f>
        <v>Torungen 1</v>
      </c>
      <c r="F24" s="12">
        <f ca="1">IFERROR(__xludf.DUMMYFUNCTION("""COMPUTED_VALUE"""),150.68)</f>
        <v>150.68</v>
      </c>
    </row>
    <row r="25" spans="1:6" x14ac:dyDescent="0.25">
      <c r="A25" s="2">
        <f ca="1">IFERROR(__xludf.DUMMYFUNCTION("""COMPUTED_VALUE"""),1772)</f>
        <v>1772</v>
      </c>
      <c r="B25" s="2">
        <f ca="1">IFERROR(__xludf.DUMMYFUNCTION("""COMPUTED_VALUE"""),20)</f>
        <v>20</v>
      </c>
      <c r="C25" s="2" t="str">
        <f ca="1">IFERROR(__xludf.DUMMYFUNCTION("""COMPUTED_VALUE"""),"Robin")</f>
        <v>Robin</v>
      </c>
      <c r="D25" s="2" t="str">
        <f ca="1">IFERROR(__xludf.DUMMYFUNCTION("""COMPUTED_VALUE"""),"Sortland")</f>
        <v>Sortland</v>
      </c>
      <c r="E25" s="2" t="str">
        <f ca="1">IFERROR(__xludf.DUMMYFUNCTION("""COMPUTED_VALUE"""),"Bergen 1")</f>
        <v>Bergen 1</v>
      </c>
      <c r="F25" s="12">
        <f ca="1">IFERROR(__xludf.DUMMYFUNCTION("""COMPUTED_VALUE"""),132.3)</f>
        <v>132.30000000000001</v>
      </c>
    </row>
    <row r="26" spans="1:6" x14ac:dyDescent="0.25">
      <c r="A26" s="2">
        <f ca="1">IFERROR(__xludf.DUMMYFUNCTION("""COMPUTED_VALUE"""),5990)</f>
        <v>5990</v>
      </c>
      <c r="B26" s="2">
        <f ca="1">IFERROR(__xludf.DUMMYFUNCTION("""COMPUTED_VALUE"""),21)</f>
        <v>21</v>
      </c>
      <c r="C26" s="2" t="str">
        <f ca="1">IFERROR(__xludf.DUMMYFUNCTION("""COMPUTED_VALUE"""),"Anders")</f>
        <v>Anders</v>
      </c>
      <c r="D26" s="2" t="str">
        <f ca="1">IFERROR(__xludf.DUMMYFUNCTION("""COMPUTED_VALUE"""),"Lindland")</f>
        <v>Lindland</v>
      </c>
      <c r="E26" s="2" t="str">
        <f ca="1">IFERROR(__xludf.DUMMYFUNCTION("""COMPUTED_VALUE"""),"Torungen 3")</f>
        <v>Torungen 3</v>
      </c>
      <c r="F26" s="12">
        <f ca="1">IFERROR(__xludf.DUMMYFUNCTION("""COMPUTED_VALUE"""),132.24)</f>
        <v>132.24</v>
      </c>
    </row>
    <row r="27" spans="1:6" x14ac:dyDescent="0.25">
      <c r="A27" s="2">
        <f ca="1">IFERROR(__xludf.DUMMYFUNCTION("""COMPUTED_VALUE"""),1771)</f>
        <v>1771</v>
      </c>
      <c r="B27" s="2">
        <f ca="1">IFERROR(__xludf.DUMMYFUNCTION("""COMPUTED_VALUE"""),22)</f>
        <v>22</v>
      </c>
      <c r="C27" s="2" t="str">
        <f ca="1">IFERROR(__xludf.DUMMYFUNCTION("""COMPUTED_VALUE"""),"Wasiq")</f>
        <v>Wasiq</v>
      </c>
      <c r="D27" s="2" t="str">
        <f ca="1">IFERROR(__xludf.DUMMYFUNCTION("""COMPUTED_VALUE"""),"Butt")</f>
        <v>Butt</v>
      </c>
      <c r="E27" s="2" t="str">
        <f ca="1">IFERROR(__xludf.DUMMYFUNCTION("""COMPUTED_VALUE"""),"Bergen 1")</f>
        <v>Bergen 1</v>
      </c>
      <c r="F27" s="12">
        <f ca="1">IFERROR(__xludf.DUMMYFUNCTION("""COMPUTED_VALUE"""),126.32)</f>
        <v>126.32</v>
      </c>
    </row>
    <row r="28" spans="1:6" x14ac:dyDescent="0.25">
      <c r="A28" s="2">
        <f ca="1">IFERROR(__xludf.DUMMYFUNCTION("""COMPUTED_VALUE"""),5986)</f>
        <v>5986</v>
      </c>
      <c r="B28" s="2">
        <f ca="1">IFERROR(__xludf.DUMMYFUNCTION("""COMPUTED_VALUE"""),23)</f>
        <v>23</v>
      </c>
      <c r="C28" s="2" t="str">
        <f ca="1">IFERROR(__xludf.DUMMYFUNCTION("""COMPUTED_VALUE"""),"Trym Olaf")</f>
        <v>Trym Olaf</v>
      </c>
      <c r="D28" s="2" t="str">
        <f ca="1">IFERROR(__xludf.DUMMYFUNCTION("""COMPUTED_VALUE"""),"Olsen")</f>
        <v>Olsen</v>
      </c>
      <c r="E28" s="2" t="str">
        <f ca="1">IFERROR(__xludf.DUMMYFUNCTION("""COMPUTED_VALUE"""),"Torungen 2")</f>
        <v>Torungen 2</v>
      </c>
      <c r="F28" s="12">
        <f ca="1">IFERROR(__xludf.DUMMYFUNCTION("""COMPUTED_VALUE"""),124.7)</f>
        <v>124.7</v>
      </c>
    </row>
    <row r="29" spans="1:6" x14ac:dyDescent="0.25">
      <c r="A29" s="2">
        <f ca="1">IFERROR(__xludf.DUMMYFUNCTION("""COMPUTED_VALUE"""),1831)</f>
        <v>1831</v>
      </c>
      <c r="B29" s="2">
        <f ca="1">IFERROR(__xludf.DUMMYFUNCTION("""COMPUTED_VALUE"""),24)</f>
        <v>24</v>
      </c>
      <c r="C29" s="2" t="str">
        <f ca="1">IFERROR(__xludf.DUMMYFUNCTION("""COMPUTED_VALUE"""),"Roy Egil")</f>
        <v>Roy Egil</v>
      </c>
      <c r="D29" s="2" t="str">
        <f ca="1">IFERROR(__xludf.DUMMYFUNCTION("""COMPUTED_VALUE"""),"Tenold")</f>
        <v>Tenold</v>
      </c>
      <c r="E29" s="2" t="str">
        <f ca="1">IFERROR(__xludf.DUMMYFUNCTION("""COMPUTED_VALUE"""),"Bergen 1")</f>
        <v>Bergen 1</v>
      </c>
      <c r="F29" s="12">
        <f ca="1">IFERROR(__xludf.DUMMYFUNCTION("""COMPUTED_VALUE"""),121.3)</f>
        <v>121.3</v>
      </c>
    </row>
    <row r="30" spans="1:6" x14ac:dyDescent="0.25">
      <c r="A30" s="2">
        <f ca="1">IFERROR(__xludf.DUMMYFUNCTION("""COMPUTED_VALUE"""),4319)</f>
        <v>4319</v>
      </c>
      <c r="B30" s="2">
        <f ca="1">IFERROR(__xludf.DUMMYFUNCTION("""COMPUTED_VALUE"""),25)</f>
        <v>25</v>
      </c>
      <c r="C30" s="2" t="str">
        <f ca="1">IFERROR(__xludf.DUMMYFUNCTION("""COMPUTED_VALUE"""),"Bastian N.")</f>
        <v>Bastian N.</v>
      </c>
      <c r="D30" s="2" t="str">
        <f ca="1">IFERROR(__xludf.DUMMYFUNCTION("""COMPUTED_VALUE"""),"Torgersen")</f>
        <v>Torgersen</v>
      </c>
      <c r="E30" s="2" t="str">
        <f ca="1">IFERROR(__xludf.DUMMYFUNCTION("""COMPUTED_VALUE"""),"Oslo 2")</f>
        <v>Oslo 2</v>
      </c>
      <c r="F30" s="12">
        <f ca="1">IFERROR(__xludf.DUMMYFUNCTION("""COMPUTED_VALUE"""),108.94)</f>
        <v>108.94</v>
      </c>
    </row>
    <row r="31" spans="1:6" x14ac:dyDescent="0.25">
      <c r="A31" s="2">
        <f ca="1">IFERROR(__xludf.DUMMYFUNCTION("""COMPUTED_VALUE"""),5992)</f>
        <v>5992</v>
      </c>
      <c r="B31" s="2">
        <f ca="1">IFERROR(__xludf.DUMMYFUNCTION("""COMPUTED_VALUE"""),26)</f>
        <v>26</v>
      </c>
      <c r="C31" s="2" t="str">
        <f ca="1">IFERROR(__xludf.DUMMYFUNCTION("""COMPUTED_VALUE"""),"Jan Ivar")</f>
        <v>Jan Ivar</v>
      </c>
      <c r="D31" s="2" t="str">
        <f ca="1">IFERROR(__xludf.DUMMYFUNCTION("""COMPUTED_VALUE"""),"Lundberg")</f>
        <v>Lundberg</v>
      </c>
      <c r="E31" s="2" t="str">
        <f ca="1">IFERROR(__xludf.DUMMYFUNCTION("""COMPUTED_VALUE"""),"Torungen 1")</f>
        <v>Torungen 1</v>
      </c>
      <c r="F31" s="12">
        <f ca="1">IFERROR(__xludf.DUMMYFUNCTION("""COMPUTED_VALUE"""),97.78)</f>
        <v>97.78</v>
      </c>
    </row>
    <row r="32" spans="1:6" x14ac:dyDescent="0.25">
      <c r="A32" s="2">
        <f ca="1">IFERROR(__xludf.DUMMYFUNCTION("""COMPUTED_VALUE"""),2843)</f>
        <v>2843</v>
      </c>
      <c r="B32" s="2">
        <f ca="1">IFERROR(__xludf.DUMMYFUNCTION("""COMPUTED_VALUE"""),27)</f>
        <v>27</v>
      </c>
      <c r="C32" s="2" t="str">
        <f ca="1">IFERROR(__xludf.DUMMYFUNCTION("""COMPUTED_VALUE"""),"John Eilif")</f>
        <v>John Eilif</v>
      </c>
      <c r="D32" s="2" t="str">
        <f ca="1">IFERROR(__xludf.DUMMYFUNCTION("""COMPUTED_VALUE"""),"Johansen")</f>
        <v>Johansen</v>
      </c>
      <c r="E32" s="2" t="str">
        <f ca="1">IFERROR(__xludf.DUMMYFUNCTION("""COMPUTED_VALUE"""),"Mix 1")</f>
        <v>Mix 1</v>
      </c>
      <c r="F32" s="12">
        <f ca="1">IFERROR(__xludf.DUMMYFUNCTION("""COMPUTED_VALUE"""),96.94)</f>
        <v>96.94</v>
      </c>
    </row>
    <row r="33" spans="1:6" x14ac:dyDescent="0.25">
      <c r="A33" s="2">
        <f ca="1">IFERROR(__xludf.DUMMYFUNCTION("""COMPUTED_VALUE"""),6407)</f>
        <v>6407</v>
      </c>
      <c r="B33" s="2">
        <f ca="1">IFERROR(__xludf.DUMMYFUNCTION("""COMPUTED_VALUE"""),28)</f>
        <v>28</v>
      </c>
      <c r="C33" s="2" t="str">
        <f ca="1">IFERROR(__xludf.DUMMYFUNCTION("""COMPUTED_VALUE"""),"Dag Rune")</f>
        <v>Dag Rune</v>
      </c>
      <c r="D33" s="2" t="str">
        <f ca="1">IFERROR(__xludf.DUMMYFUNCTION("""COMPUTED_VALUE"""),"Kvittem")</f>
        <v>Kvittem</v>
      </c>
      <c r="E33" s="2" t="str">
        <f ca="1">IFERROR(__xludf.DUMMYFUNCTION("""COMPUTED_VALUE"""),"Trondheim 3")</f>
        <v>Trondheim 3</v>
      </c>
      <c r="F33" s="12">
        <f ca="1">IFERROR(__xludf.DUMMYFUNCTION("""COMPUTED_VALUE"""),94.9)</f>
        <v>94.9</v>
      </c>
    </row>
    <row r="34" spans="1:6" x14ac:dyDescent="0.25">
      <c r="A34" s="2">
        <f ca="1">IFERROR(__xludf.DUMMYFUNCTION("""COMPUTED_VALUE"""),4425)</f>
        <v>4425</v>
      </c>
      <c r="B34" s="2">
        <f ca="1">IFERROR(__xludf.DUMMYFUNCTION("""COMPUTED_VALUE"""),29)</f>
        <v>29</v>
      </c>
      <c r="C34" s="2" t="str">
        <f ca="1">IFERROR(__xludf.DUMMYFUNCTION("""COMPUTED_VALUE"""),"Joaquim A.")</f>
        <v>Joaquim A.</v>
      </c>
      <c r="D34" s="2" t="str">
        <f ca="1">IFERROR(__xludf.DUMMYFUNCTION("""COMPUTED_VALUE"""),"Barros")</f>
        <v>Barros</v>
      </c>
      <c r="E34" s="2" t="str">
        <f ca="1">IFERROR(__xludf.DUMMYFUNCTION("""COMPUTED_VALUE"""),"Oslo 2")</f>
        <v>Oslo 2</v>
      </c>
      <c r="F34" s="12">
        <f ca="1">IFERROR(__xludf.DUMMYFUNCTION("""COMPUTED_VALUE"""),90.62)</f>
        <v>90.62</v>
      </c>
    </row>
    <row r="35" spans="1:6" x14ac:dyDescent="0.25">
      <c r="A35" s="2">
        <f ca="1">IFERROR(__xludf.DUMMYFUNCTION("""COMPUTED_VALUE"""),5995)</f>
        <v>5995</v>
      </c>
      <c r="B35" s="2">
        <f ca="1">IFERROR(__xludf.DUMMYFUNCTION("""COMPUTED_VALUE"""),30)</f>
        <v>30</v>
      </c>
      <c r="C35" s="2" t="str">
        <f ca="1">IFERROR(__xludf.DUMMYFUNCTION("""COMPUTED_VALUE"""),"Sebastian Holter")</f>
        <v>Sebastian Holter</v>
      </c>
      <c r="D35" s="2" t="str">
        <f ca="1">IFERROR(__xludf.DUMMYFUNCTION("""COMPUTED_VALUE"""),"Nilsen")</f>
        <v>Nilsen</v>
      </c>
      <c r="E35" s="2" t="str">
        <f ca="1">IFERROR(__xludf.DUMMYFUNCTION("""COMPUTED_VALUE"""),"Torungen 3")</f>
        <v>Torungen 3</v>
      </c>
      <c r="F35" s="12">
        <f ca="1">IFERROR(__xludf.DUMMYFUNCTION("""COMPUTED_VALUE"""),68.2599999999999)</f>
        <v>68.259999999999906</v>
      </c>
    </row>
    <row r="36" spans="1:6" x14ac:dyDescent="0.25">
      <c r="A36" s="2">
        <f ca="1">IFERROR(__xludf.DUMMYFUNCTION("""COMPUTED_VALUE"""),5946)</f>
        <v>5946</v>
      </c>
      <c r="B36" s="2">
        <f ca="1">IFERROR(__xludf.DUMMYFUNCTION("""COMPUTED_VALUE"""),31)</f>
        <v>31</v>
      </c>
      <c r="C36" s="2" t="str">
        <f ca="1">IFERROR(__xludf.DUMMYFUNCTION("""COMPUTED_VALUE"""),"Aslak")</f>
        <v>Aslak</v>
      </c>
      <c r="D36" s="2" t="str">
        <f ca="1">IFERROR(__xludf.DUMMYFUNCTION("""COMPUTED_VALUE"""),"Moland")</f>
        <v>Moland</v>
      </c>
      <c r="E36" s="2" t="str">
        <f ca="1">IFERROR(__xludf.DUMMYFUNCTION("""COMPUTED_VALUE"""),"Torungen 1")</f>
        <v>Torungen 1</v>
      </c>
      <c r="F36" s="12">
        <f ca="1">IFERROR(__xludf.DUMMYFUNCTION("""COMPUTED_VALUE"""),55.96)</f>
        <v>55.96</v>
      </c>
    </row>
    <row r="37" spans="1:6" x14ac:dyDescent="0.25">
      <c r="A37" s="2">
        <f ca="1">IFERROR(__xludf.DUMMYFUNCTION("""COMPUTED_VALUE"""),6437)</f>
        <v>6437</v>
      </c>
      <c r="B37" s="2">
        <f ca="1">IFERROR(__xludf.DUMMYFUNCTION("""COMPUTED_VALUE"""),32)</f>
        <v>32</v>
      </c>
      <c r="C37" s="2" t="str">
        <f ca="1">IFERROR(__xludf.DUMMYFUNCTION("""COMPUTED_VALUE"""),"Joakim")</f>
        <v>Joakim</v>
      </c>
      <c r="D37" s="2" t="str">
        <f ca="1">IFERROR(__xludf.DUMMYFUNCTION("""COMPUTED_VALUE"""),"Sævik")</f>
        <v>Sævik</v>
      </c>
      <c r="E37" s="2" t="str">
        <f ca="1">IFERROR(__xludf.DUMMYFUNCTION("""COMPUTED_VALUE"""),"Trondheim 3")</f>
        <v>Trondheim 3</v>
      </c>
      <c r="F37" s="12">
        <f ca="1">IFERROR(__xludf.DUMMYFUNCTION("""COMPUTED_VALUE"""),33.5)</f>
        <v>33.5</v>
      </c>
    </row>
    <row r="38" spans="1:6" x14ac:dyDescent="0.25">
      <c r="F38" s="12"/>
    </row>
    <row r="39" spans="1:6" x14ac:dyDescent="0.25">
      <c r="A39" s="5"/>
      <c r="B39" s="5"/>
      <c r="C39" s="5"/>
      <c r="D39" s="5"/>
      <c r="E39" s="5"/>
      <c r="F39" s="21"/>
    </row>
    <row r="40" spans="1:6" x14ac:dyDescent="0.25">
      <c r="A40" s="5" t="s">
        <v>67</v>
      </c>
      <c r="B40" s="5"/>
      <c r="C40" s="5"/>
      <c r="D40" s="5"/>
      <c r="E40" s="5"/>
      <c r="F40" s="21"/>
    </row>
    <row r="41" spans="1:6" x14ac:dyDescent="0.25">
      <c r="A41" s="5" t="s">
        <v>3</v>
      </c>
      <c r="B41" s="5" t="s">
        <v>4</v>
      </c>
      <c r="C41" s="5" t="s">
        <v>5</v>
      </c>
      <c r="D41" s="5" t="s">
        <v>6</v>
      </c>
      <c r="E41" s="5" t="s">
        <v>7</v>
      </c>
      <c r="F41" s="21" t="s">
        <v>8</v>
      </c>
    </row>
    <row r="42" spans="1:6" x14ac:dyDescent="0.25">
      <c r="A42" s="2">
        <f ca="1">IFERROR(__xludf.DUMMYFUNCTION("LET(
  _d1, QUERY('Dag 1'!A42:G46, ""select A, C, D, F, G where A is not null"", 0), 
  _d2, QUERY('Dag 2'!A42:G46, ""select A, C, D, F, G where A is not null"", 0), 
  _d3, QUERY('Dag 3'!A42:G46, ""select A, C, D, F, G where A is not null"", 0), 
  _base"&amp;", QUERY({_d1; _d2; _d3}, ""select Col1, Col2, Col3, Col4, sum(Col5) where Col1 is not null group by Col1, Col2, Col3, Col4 order by sum(Col5) desc label sum(Col5) ''"", 0), 
  HSTACK(CHOOSECOLS(_base, 1), SEQUENCE(ROWS(_base)), CHOOSECOLS(_base, 2, 3, 4, "&amp;"5))
)"),4307)</f>
        <v>4307</v>
      </c>
      <c r="B42" s="2">
        <f ca="1">IFERROR(__xludf.DUMMYFUNCTION("""COMPUTED_VALUE"""),1)</f>
        <v>1</v>
      </c>
      <c r="C42" s="2" t="str">
        <f ca="1">IFERROR(__xludf.DUMMYFUNCTION("""COMPUTED_VALUE"""),"Torunn")</f>
        <v>Torunn</v>
      </c>
      <c r="D42" s="2" t="str">
        <f ca="1">IFERROR(__xludf.DUMMYFUNCTION("""COMPUTED_VALUE"""),"Handeland")</f>
        <v>Handeland</v>
      </c>
      <c r="E42" s="2" t="str">
        <f ca="1">IFERROR(__xludf.DUMMYFUNCTION("""COMPUTED_VALUE"""),"Oslo 1")</f>
        <v>Oslo 1</v>
      </c>
      <c r="F42" s="12">
        <f ca="1">IFERROR(__xludf.DUMMYFUNCTION("""COMPUTED_VALUE"""),363.299999999999)</f>
        <v>363.29999999999899</v>
      </c>
    </row>
    <row r="43" spans="1:6" x14ac:dyDescent="0.25">
      <c r="A43" s="2">
        <f ca="1">IFERROR(__xludf.DUMMYFUNCTION("""COMPUTED_VALUE"""),6361)</f>
        <v>6361</v>
      </c>
      <c r="B43" s="2">
        <f ca="1">IFERROR(__xludf.DUMMYFUNCTION("""COMPUTED_VALUE"""),2)</f>
        <v>2</v>
      </c>
      <c r="C43" s="2" t="str">
        <f ca="1">IFERROR(__xludf.DUMMYFUNCTION("""COMPUTED_VALUE"""),"Ingrid")</f>
        <v>Ingrid</v>
      </c>
      <c r="D43" s="2" t="str">
        <f ca="1">IFERROR(__xludf.DUMMYFUNCTION("""COMPUTED_VALUE"""),"Lunden")</f>
        <v>Lunden</v>
      </c>
      <c r="E43" s="2" t="str">
        <f ca="1">IFERROR(__xludf.DUMMYFUNCTION("""COMPUTED_VALUE"""),"Trondheim 1")</f>
        <v>Trondheim 1</v>
      </c>
      <c r="F43" s="12">
        <f ca="1">IFERROR(__xludf.DUMMYFUNCTION("""COMPUTED_VALUE"""),280.76)</f>
        <v>280.76</v>
      </c>
    </row>
    <row r="44" spans="1:6" x14ac:dyDescent="0.25">
      <c r="A44" s="2">
        <f ca="1">IFERROR(__xludf.DUMMYFUNCTION("""COMPUTED_VALUE"""),6427)</f>
        <v>6427</v>
      </c>
      <c r="B44" s="2">
        <f ca="1">IFERROR(__xludf.DUMMYFUNCTION("""COMPUTED_VALUE"""),3)</f>
        <v>3</v>
      </c>
      <c r="C44" s="2" t="str">
        <f ca="1">IFERROR(__xludf.DUMMYFUNCTION("""COMPUTED_VALUE"""),"Marlene A.")</f>
        <v>Marlene A.</v>
      </c>
      <c r="D44" s="2" t="str">
        <f ca="1">IFERROR(__xludf.DUMMYFUNCTION("""COMPUTED_VALUE"""),"Fossheim")</f>
        <v>Fossheim</v>
      </c>
      <c r="E44" s="2" t="str">
        <f ca="1">IFERROR(__xludf.DUMMYFUNCTION("""COMPUTED_VALUE"""),"Trondheim 3")</f>
        <v>Trondheim 3</v>
      </c>
      <c r="F44" s="12">
        <f ca="1">IFERROR(__xludf.DUMMYFUNCTION("""COMPUTED_VALUE"""),219.88)</f>
        <v>219.88</v>
      </c>
    </row>
    <row r="45" spans="1:6" x14ac:dyDescent="0.25">
      <c r="A45" s="2">
        <f ca="1">IFERROR(__xludf.DUMMYFUNCTION("""COMPUTED_VALUE"""),4318)</f>
        <v>4318</v>
      </c>
      <c r="B45" s="2">
        <f ca="1">IFERROR(__xludf.DUMMYFUNCTION("""COMPUTED_VALUE"""),4)</f>
        <v>4</v>
      </c>
      <c r="C45" s="2" t="str">
        <f ca="1">IFERROR(__xludf.DUMMYFUNCTION("""COMPUTED_VALUE"""),"Åse Margaretha")</f>
        <v>Åse Margaretha</v>
      </c>
      <c r="D45" s="2" t="str">
        <f ca="1">IFERROR(__xludf.DUMMYFUNCTION("""COMPUTED_VALUE"""),"Nordhal")</f>
        <v>Nordhal</v>
      </c>
      <c r="E45" s="2" t="str">
        <f ca="1">IFERROR(__xludf.DUMMYFUNCTION("""COMPUTED_VALUE"""),"Mix 2")</f>
        <v>Mix 2</v>
      </c>
      <c r="F45" s="12">
        <f ca="1">IFERROR(__xludf.DUMMYFUNCTION("""COMPUTED_VALUE"""),112.88)</f>
        <v>112.88</v>
      </c>
    </row>
    <row r="46" spans="1:6" x14ac:dyDescent="0.25">
      <c r="A46" s="2">
        <f ca="1">IFERROR(__xludf.DUMMYFUNCTION("""COMPUTED_VALUE"""),3502)</f>
        <v>3502</v>
      </c>
      <c r="B46" s="2">
        <f ca="1">IFERROR(__xludf.DUMMYFUNCTION("""COMPUTED_VALUE"""),5)</f>
        <v>5</v>
      </c>
      <c r="C46" s="2" t="str">
        <f ca="1">IFERROR(__xludf.DUMMYFUNCTION("""COMPUTED_VALUE"""),"Anne-Grete")</f>
        <v>Anne-Grete</v>
      </c>
      <c r="D46" s="2" t="str">
        <f ca="1">IFERROR(__xludf.DUMMYFUNCTION("""COMPUTED_VALUE"""),"Sætherø")</f>
        <v>Sætherø</v>
      </c>
      <c r="E46" s="2" t="str">
        <f ca="1">IFERROR(__xludf.DUMMYFUNCTION("""COMPUTED_VALUE"""),"Mix 1")</f>
        <v>Mix 1</v>
      </c>
      <c r="F46" s="12">
        <f ca="1">IFERROR(__xludf.DUMMYFUNCTION("""COMPUTED_VALUE"""),61.14)</f>
        <v>61.14</v>
      </c>
    </row>
    <row r="47" spans="1:6" x14ac:dyDescent="0.25">
      <c r="F47" s="12"/>
    </row>
    <row r="48" spans="1:6" x14ac:dyDescent="0.25">
      <c r="A48" s="5" t="s">
        <v>74</v>
      </c>
      <c r="B48" s="5"/>
      <c r="C48" s="5"/>
      <c r="D48" s="5"/>
      <c r="E48" s="5"/>
      <c r="F48" s="21"/>
    </row>
    <row r="49" spans="1:6" x14ac:dyDescent="0.25">
      <c r="A49" s="5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21" t="s">
        <v>8</v>
      </c>
    </row>
    <row r="50" spans="1:6" x14ac:dyDescent="0.25">
      <c r="A50" s="2">
        <f ca="1">IFERROR(__xludf.DUMMYFUNCTION("LET(
  _d1, QUERY('Dag 1'!A50:G52, ""select A, C, D, F, G where A is not null"", 0), 
  _d2, QUERY('Dag 2'!A50:G52, ""select A, C, D, F, G where A is not null"", 0), 
  _d3, QUERY('Dag 3'!A50:G52, ""select A, C, D, F, G where A is not null"", 0), 
  _base"&amp;", QUERY({_d1; _d2; _d3}, ""select Col1, Col2, Col3, Col4, sum(Col5) where Col1 is not null group by Col1, Col2, Col3, Col4 order by sum(Col5) desc label sum(Col5) ''"", 0), 
  HSTACK(CHOOSECOLS(_base, 1), SEQUENCE(ROWS(_base)), CHOOSECOLS(_base, 2, 3, 4, "&amp;"5))
)"),5939)</f>
        <v>5939</v>
      </c>
      <c r="B50" s="2">
        <f ca="1">IFERROR(__xludf.DUMMYFUNCTION("""COMPUTED_VALUE"""),1)</f>
        <v>1</v>
      </c>
      <c r="C50" s="2" t="str">
        <f ca="1">IFERROR(__xludf.DUMMYFUNCTION("""COMPUTED_VALUE"""),"Emrik Nordberg")</f>
        <v>Emrik Nordberg</v>
      </c>
      <c r="D50" s="2" t="str">
        <f ca="1">IFERROR(__xludf.DUMMYFUNCTION("""COMPUTED_VALUE"""),"Johansen")</f>
        <v>Johansen</v>
      </c>
      <c r="E50" s="2" t="str">
        <f ca="1">IFERROR(__xludf.DUMMYFUNCTION("""COMPUTED_VALUE"""),"Torungen 3")</f>
        <v>Torungen 3</v>
      </c>
      <c r="F50" s="12">
        <f ca="1">IFERROR(__xludf.DUMMYFUNCTION("""COMPUTED_VALUE"""),176.16)</f>
        <v>176.16</v>
      </c>
    </row>
    <row r="51" spans="1:6" x14ac:dyDescent="0.25">
      <c r="A51" s="2">
        <f ca="1">IFERROR(__xludf.DUMMYFUNCTION("""COMPUTED_VALUE"""),2011)</f>
        <v>2011</v>
      </c>
      <c r="B51" s="2">
        <f ca="1">IFERROR(__xludf.DUMMYFUNCTION("""COMPUTED_VALUE"""),2)</f>
        <v>2</v>
      </c>
      <c r="C51" s="2" t="str">
        <f ca="1">IFERROR(__xludf.DUMMYFUNCTION("""COMPUTED_VALUE"""),"Emma U.")</f>
        <v>Emma U.</v>
      </c>
      <c r="D51" s="2" t="str">
        <f ca="1">IFERROR(__xludf.DUMMYFUNCTION("""COMPUTED_VALUE"""),"Berg")</f>
        <v>Berg</v>
      </c>
      <c r="E51" s="2" t="str">
        <f ca="1">IFERROR(__xludf.DUMMYFUNCTION("""COMPUTED_VALUE"""),"Botne 1")</f>
        <v>Botne 1</v>
      </c>
      <c r="F51" s="12">
        <f ca="1">IFERROR(__xludf.DUMMYFUNCTION("""COMPUTED_VALUE"""),147.26)</f>
        <v>147.26</v>
      </c>
    </row>
    <row r="52" spans="1:6" x14ac:dyDescent="0.25">
      <c r="A52" s="2">
        <f ca="1">IFERROR(__xludf.DUMMYFUNCTION("""COMPUTED_VALUE"""),4311)</f>
        <v>4311</v>
      </c>
      <c r="B52" s="2">
        <f ca="1">IFERROR(__xludf.DUMMYFUNCTION("""COMPUTED_VALUE"""),3)</f>
        <v>3</v>
      </c>
      <c r="C52" s="2" t="str">
        <f ca="1">IFERROR(__xludf.DUMMYFUNCTION("""COMPUTED_VALUE"""),"Antonio")</f>
        <v>Antonio</v>
      </c>
      <c r="D52" s="2" t="str">
        <f ca="1">IFERROR(__xludf.DUMMYFUNCTION("""COMPUTED_VALUE"""),"Barros")</f>
        <v>Barros</v>
      </c>
      <c r="E52" s="2" t="str">
        <f ca="1">IFERROR(__xludf.DUMMYFUNCTION("""COMPUTED_VALUE"""),"Mix 2")</f>
        <v>Mix 2</v>
      </c>
      <c r="F52" s="12">
        <f ca="1">IFERROR(__xludf.DUMMYFUNCTION("""COMPUTED_VALUE"""),107.72)</f>
        <v>107.72</v>
      </c>
    </row>
    <row r="53" spans="1:6" x14ac:dyDescent="0.25">
      <c r="A53" s="2">
        <f ca="1">IFERROR(__xludf.DUMMYFUNCTION("""COMPUTED_VALUE"""),2011)</f>
        <v>2011</v>
      </c>
      <c r="B53" s="2">
        <f ca="1">IFERROR(__xludf.DUMMYFUNCTION("""COMPUTED_VALUE"""),4)</f>
        <v>4</v>
      </c>
      <c r="C53" s="2" t="str">
        <f ca="1">IFERROR(__xludf.DUMMYFUNCTION("""COMPUTED_VALUE"""),"Emma")</f>
        <v>Emma</v>
      </c>
      <c r="D53" s="2" t="str">
        <f ca="1">IFERROR(__xludf.DUMMYFUNCTION("""COMPUTED_VALUE"""),"Berg")</f>
        <v>Berg</v>
      </c>
      <c r="E53" s="2" t="str">
        <f ca="1">IFERROR(__xludf.DUMMYFUNCTION("""COMPUTED_VALUE"""),"Torungen 3")</f>
        <v>Torungen 3</v>
      </c>
      <c r="F53" s="12">
        <f ca="1">IFERROR(__xludf.DUMMYFUNCTION("""COMPUTED_VALUE"""),42.76)</f>
        <v>42.76</v>
      </c>
    </row>
    <row r="54" spans="1:6" x14ac:dyDescent="0.25">
      <c r="F54" s="12"/>
    </row>
    <row r="55" spans="1:6" x14ac:dyDescent="0.25">
      <c r="A55" s="5" t="s">
        <v>84</v>
      </c>
      <c r="B55" s="5"/>
      <c r="C55" s="5"/>
      <c r="D55" s="5"/>
      <c r="E55" s="5"/>
      <c r="F55" s="21"/>
    </row>
    <row r="56" spans="1:6" x14ac:dyDescent="0.25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21" t="s">
        <v>8</v>
      </c>
    </row>
    <row r="57" spans="1:6" x14ac:dyDescent="0.25">
      <c r="A57" s="2">
        <f ca="1">IFERROR(__xludf.DUMMYFUNCTION("LET(
  _d1, QUERY('Dag 1'!A57:G69, ""select A, C, D, F, G where A is not null"", 0), 
  _d2, QUERY('Dag 2'!A57:G69, ""select A, C, D, F, G where A is not null"", 0), 
  _d3, QUERY('Dag 3'!A57:G69, ""select A, C, D, F, G where A is not null"", 0), 
  _base"&amp;", QUERY({_d1; _d2; _d3}, ""select Col1, Col2, Col3, Col4, sum(Col5) where Col1 is not null group by Col1, Col2, Col3, Col4 order by sum(Col5) desc label sum(Col5) ''"", 0), 
  HSTACK(CHOOSECOLS(_base, 1), SEQUENCE(ROWS(_base)), CHOOSECOLS(_base, 2, 3, 4, "&amp;"5))
)"),6309)</f>
        <v>6309</v>
      </c>
      <c r="B57" s="2">
        <f ca="1">IFERROR(__xludf.DUMMYFUNCTION("""COMPUTED_VALUE"""),1)</f>
        <v>1</v>
      </c>
      <c r="C57" s="2" t="str">
        <f ca="1">IFERROR(__xludf.DUMMYFUNCTION("""COMPUTED_VALUE"""),"Øyvind")</f>
        <v>Øyvind</v>
      </c>
      <c r="D57" s="2" t="str">
        <f ca="1">IFERROR(__xludf.DUMMYFUNCTION("""COMPUTED_VALUE"""),"Braa")</f>
        <v>Braa</v>
      </c>
      <c r="E57" s="2" t="str">
        <f ca="1">IFERROR(__xludf.DUMMYFUNCTION("""COMPUTED_VALUE"""),"Trondheim 2")</f>
        <v>Trondheim 2</v>
      </c>
      <c r="F57" s="12">
        <f ca="1">IFERROR(__xludf.DUMMYFUNCTION("""COMPUTED_VALUE"""),304.58)</f>
        <v>304.58</v>
      </c>
    </row>
    <row r="58" spans="1:6" x14ac:dyDescent="0.25">
      <c r="A58" s="2">
        <f ca="1">IFERROR(__xludf.DUMMYFUNCTION("""COMPUTED_VALUE"""),4101)</f>
        <v>4101</v>
      </c>
      <c r="B58" s="2">
        <f ca="1">IFERROR(__xludf.DUMMYFUNCTION("""COMPUTED_VALUE"""),2)</f>
        <v>2</v>
      </c>
      <c r="C58" s="2" t="str">
        <f ca="1">IFERROR(__xludf.DUMMYFUNCTION("""COMPUTED_VALUE"""),"Øyvind")</f>
        <v>Øyvind</v>
      </c>
      <c r="D58" s="2" t="str">
        <f ca="1">IFERROR(__xludf.DUMMYFUNCTION("""COMPUTED_VALUE"""),"Andersen")</f>
        <v>Andersen</v>
      </c>
      <c r="E58" s="2" t="str">
        <f ca="1">IFERROR(__xludf.DUMMYFUNCTION("""COMPUTED_VALUE"""),"Nord Jæren 1")</f>
        <v>Nord Jæren 1</v>
      </c>
      <c r="F58" s="12">
        <f ca="1">IFERROR(__xludf.DUMMYFUNCTION("""COMPUTED_VALUE"""),228.12)</f>
        <v>228.12</v>
      </c>
    </row>
    <row r="59" spans="1:6" x14ac:dyDescent="0.25">
      <c r="A59" s="2">
        <f ca="1">IFERROR(__xludf.DUMMYFUNCTION("""COMPUTED_VALUE"""),6312)</f>
        <v>6312</v>
      </c>
      <c r="B59" s="2">
        <f ca="1">IFERROR(__xludf.DUMMYFUNCTION("""COMPUTED_VALUE"""),3)</f>
        <v>3</v>
      </c>
      <c r="C59" s="2" t="str">
        <f ca="1">IFERROR(__xludf.DUMMYFUNCTION("""COMPUTED_VALUE"""),"Runolf")</f>
        <v>Runolf</v>
      </c>
      <c r="D59" s="2" t="str">
        <f ca="1">IFERROR(__xludf.DUMMYFUNCTION("""COMPUTED_VALUE"""),"Lunden")</f>
        <v>Lunden</v>
      </c>
      <c r="E59" s="2" t="str">
        <f ca="1">IFERROR(__xludf.DUMMYFUNCTION("""COMPUTED_VALUE"""),"Trondheim 1")</f>
        <v>Trondheim 1</v>
      </c>
      <c r="F59" s="12">
        <f ca="1">IFERROR(__xludf.DUMMYFUNCTION("""COMPUTED_VALUE"""),175.079999999999)</f>
        <v>175.07999999999899</v>
      </c>
    </row>
    <row r="60" spans="1:6" x14ac:dyDescent="0.25">
      <c r="A60" s="2">
        <f ca="1">IFERROR(__xludf.DUMMYFUNCTION("""COMPUTED_VALUE"""),6387)</f>
        <v>6387</v>
      </c>
      <c r="B60" s="2">
        <f ca="1">IFERROR(__xludf.DUMMYFUNCTION("""COMPUTED_VALUE"""),4)</f>
        <v>4</v>
      </c>
      <c r="C60" s="2" t="str">
        <f ca="1">IFERROR(__xludf.DUMMYFUNCTION("""COMPUTED_VALUE"""),"Håvard")</f>
        <v>Håvard</v>
      </c>
      <c r="D60" s="2" t="str">
        <f ca="1">IFERROR(__xludf.DUMMYFUNCTION("""COMPUTED_VALUE"""),"Strand")</f>
        <v>Strand</v>
      </c>
      <c r="E60" s="2" t="str">
        <f ca="1">IFERROR(__xludf.DUMMYFUNCTION("""COMPUTED_VALUE"""),"Trondheim 2")</f>
        <v>Trondheim 2</v>
      </c>
      <c r="F60" s="12">
        <f ca="1">IFERROR(__xludf.DUMMYFUNCTION("""COMPUTED_VALUE"""),142.4)</f>
        <v>142.4</v>
      </c>
    </row>
    <row r="61" spans="1:6" x14ac:dyDescent="0.25">
      <c r="A61" s="2">
        <f ca="1">IFERROR(__xludf.DUMMYFUNCTION("""COMPUTED_VALUE"""),4344)</f>
        <v>4344</v>
      </c>
      <c r="B61" s="2">
        <f ca="1">IFERROR(__xludf.DUMMYFUNCTION("""COMPUTED_VALUE"""),5)</f>
        <v>5</v>
      </c>
      <c r="C61" s="2" t="str">
        <f ca="1">IFERROR(__xludf.DUMMYFUNCTION("""COMPUTED_VALUE"""),"Sven")</f>
        <v>Sven</v>
      </c>
      <c r="D61" s="2" t="str">
        <f ca="1">IFERROR(__xludf.DUMMYFUNCTION("""COMPUTED_VALUE"""),"Solbakken")</f>
        <v>Solbakken</v>
      </c>
      <c r="E61" s="2" t="str">
        <f ca="1">IFERROR(__xludf.DUMMYFUNCTION("""COMPUTED_VALUE"""),"Oslo 1")</f>
        <v>Oslo 1</v>
      </c>
      <c r="F61" s="12">
        <f ca="1">IFERROR(__xludf.DUMMYFUNCTION("""COMPUTED_VALUE"""),135.06)</f>
        <v>135.06</v>
      </c>
    </row>
    <row r="62" spans="1:6" x14ac:dyDescent="0.25">
      <c r="A62" s="2">
        <f ca="1">IFERROR(__xludf.DUMMYFUNCTION("""COMPUTED_VALUE"""),4355)</f>
        <v>4355</v>
      </c>
      <c r="B62" s="2">
        <f ca="1">IFERROR(__xludf.DUMMYFUNCTION("""COMPUTED_VALUE"""),6)</f>
        <v>6</v>
      </c>
      <c r="C62" s="2" t="str">
        <f ca="1">IFERROR(__xludf.DUMMYFUNCTION("""COMPUTED_VALUE"""),"Johan")</f>
        <v>Johan</v>
      </c>
      <c r="D62" s="2" t="str">
        <f ca="1">IFERROR(__xludf.DUMMYFUNCTION("""COMPUTED_VALUE"""),"Winge")</f>
        <v>Winge</v>
      </c>
      <c r="E62" s="2" t="str">
        <f ca="1">IFERROR(__xludf.DUMMYFUNCTION("""COMPUTED_VALUE"""),"Oslo 2")</f>
        <v>Oslo 2</v>
      </c>
      <c r="F62" s="12">
        <f ca="1">IFERROR(__xludf.DUMMYFUNCTION("""COMPUTED_VALUE"""),128.96)</f>
        <v>128.96</v>
      </c>
    </row>
    <row r="63" spans="1:6" x14ac:dyDescent="0.25">
      <c r="A63" s="2">
        <f ca="1">IFERROR(__xludf.DUMMYFUNCTION("""COMPUTED_VALUE"""),6426)</f>
        <v>6426</v>
      </c>
      <c r="B63" s="2">
        <f ca="1">IFERROR(__xludf.DUMMYFUNCTION("""COMPUTED_VALUE"""),7)</f>
        <v>7</v>
      </c>
      <c r="C63" s="2" t="str">
        <f ca="1">IFERROR(__xludf.DUMMYFUNCTION("""COMPUTED_VALUE"""),"Ingvar")</f>
        <v>Ingvar</v>
      </c>
      <c r="D63" s="2" t="str">
        <f ca="1">IFERROR(__xludf.DUMMYFUNCTION("""COMPUTED_VALUE"""),"Kjærvik")</f>
        <v>Kjærvik</v>
      </c>
      <c r="E63" s="2" t="str">
        <f ca="1">IFERROR(__xludf.DUMMYFUNCTION("""COMPUTED_VALUE"""),"Trondheim 3")</f>
        <v>Trondheim 3</v>
      </c>
      <c r="F63" s="12">
        <f ca="1">IFERROR(__xludf.DUMMYFUNCTION("""COMPUTED_VALUE"""),125.419999999999)</f>
        <v>125.41999999999901</v>
      </c>
    </row>
    <row r="64" spans="1:6" x14ac:dyDescent="0.25">
      <c r="A64" s="2">
        <f ca="1">IFERROR(__xludf.DUMMYFUNCTION("""COMPUTED_VALUE"""),2028)</f>
        <v>2028</v>
      </c>
      <c r="B64" s="2">
        <f ca="1">IFERROR(__xludf.DUMMYFUNCTION("""COMPUTED_VALUE"""),8)</f>
        <v>8</v>
      </c>
      <c r="C64" s="2" t="str">
        <f ca="1">IFERROR(__xludf.DUMMYFUNCTION("""COMPUTED_VALUE"""),"Ole Kristian")</f>
        <v>Ole Kristian</v>
      </c>
      <c r="D64" s="2" t="str">
        <f ca="1">IFERROR(__xludf.DUMMYFUNCTION("""COMPUTED_VALUE"""),"Steine")</f>
        <v>Steine</v>
      </c>
      <c r="E64" s="2" t="str">
        <f ca="1">IFERROR(__xludf.DUMMYFUNCTION("""COMPUTED_VALUE"""),"Trondheim 2")</f>
        <v>Trondheim 2</v>
      </c>
      <c r="F64" s="12">
        <f ca="1">IFERROR(__xludf.DUMMYFUNCTION("""COMPUTED_VALUE"""),104.92)</f>
        <v>104.92</v>
      </c>
    </row>
    <row r="65" spans="1:6" x14ac:dyDescent="0.25">
      <c r="A65" s="2">
        <f ca="1">IFERROR(__xludf.DUMMYFUNCTION("""COMPUTED_VALUE"""),5521)</f>
        <v>5521</v>
      </c>
      <c r="B65" s="2">
        <f ca="1">IFERROR(__xludf.DUMMYFUNCTION("""COMPUTED_VALUE"""),9)</f>
        <v>9</v>
      </c>
      <c r="C65" s="2" t="str">
        <f ca="1">IFERROR(__xludf.DUMMYFUNCTION("""COMPUTED_VALUE"""),"Frode")</f>
        <v>Frode</v>
      </c>
      <c r="D65" s="2" t="str">
        <f ca="1">IFERROR(__xludf.DUMMYFUNCTION("""COMPUTED_VALUE"""),"Lerstein")</f>
        <v>Lerstein</v>
      </c>
      <c r="E65" s="2" t="str">
        <f ca="1">IFERROR(__xludf.DUMMYFUNCTION("""COMPUTED_VALUE"""),"Mix 1")</f>
        <v>Mix 1</v>
      </c>
      <c r="F65" s="12">
        <f ca="1">IFERROR(__xludf.DUMMYFUNCTION("""COMPUTED_VALUE"""),89.56)</f>
        <v>89.56</v>
      </c>
    </row>
    <row r="66" spans="1:6" x14ac:dyDescent="0.25">
      <c r="A66" s="2">
        <f ca="1">IFERROR(__xludf.DUMMYFUNCTION("""COMPUTED_VALUE"""),2008)</f>
        <v>2008</v>
      </c>
      <c r="B66" s="2">
        <f ca="1">IFERROR(__xludf.DUMMYFUNCTION("""COMPUTED_VALUE"""),10)</f>
        <v>10</v>
      </c>
      <c r="C66" s="2" t="str">
        <f ca="1">IFERROR(__xludf.DUMMYFUNCTION("""COMPUTED_VALUE"""),"Gunder")</f>
        <v>Gunder</v>
      </c>
      <c r="D66" s="2" t="str">
        <f ca="1">IFERROR(__xludf.DUMMYFUNCTION("""COMPUTED_VALUE"""),"Salbu")</f>
        <v>Salbu</v>
      </c>
      <c r="E66" s="2" t="str">
        <f ca="1">IFERROR(__xludf.DUMMYFUNCTION("""COMPUTED_VALUE"""),"Botne 1")</f>
        <v>Botne 1</v>
      </c>
      <c r="F66" s="12">
        <f ca="1">IFERROR(__xludf.DUMMYFUNCTION("""COMPUTED_VALUE"""),85.84)</f>
        <v>85.84</v>
      </c>
    </row>
    <row r="67" spans="1:6" x14ac:dyDescent="0.25">
      <c r="A67" s="2">
        <f ca="1">IFERROR(__xludf.DUMMYFUNCTION("""COMPUTED_VALUE"""),6302)</f>
        <v>6302</v>
      </c>
      <c r="B67" s="2">
        <f ca="1">IFERROR(__xludf.DUMMYFUNCTION("""COMPUTED_VALUE"""),11)</f>
        <v>11</v>
      </c>
      <c r="C67" s="2" t="str">
        <f ca="1">IFERROR(__xludf.DUMMYFUNCTION("""COMPUTED_VALUE"""),"Sigurd")</f>
        <v>Sigurd</v>
      </c>
      <c r="D67" s="2" t="str">
        <f ca="1">IFERROR(__xludf.DUMMYFUNCTION("""COMPUTED_VALUE"""),"Smolan")</f>
        <v>Smolan</v>
      </c>
      <c r="E67" s="2" t="str">
        <f ca="1">IFERROR(__xludf.DUMMYFUNCTION("""COMPUTED_VALUE"""),"Trondheim 2")</f>
        <v>Trondheim 2</v>
      </c>
      <c r="F67" s="12">
        <f ca="1">IFERROR(__xludf.DUMMYFUNCTION("""COMPUTED_VALUE"""),84.82)</f>
        <v>84.82</v>
      </c>
    </row>
    <row r="68" spans="1:6" x14ac:dyDescent="0.25">
      <c r="A68" s="2">
        <f ca="1">IFERROR(__xludf.DUMMYFUNCTION("""COMPUTED_VALUE"""),5993)</f>
        <v>5993</v>
      </c>
      <c r="B68" s="2">
        <f ca="1">IFERROR(__xludf.DUMMYFUNCTION("""COMPUTED_VALUE"""),12)</f>
        <v>12</v>
      </c>
      <c r="C68" s="2" t="str">
        <f ca="1">IFERROR(__xludf.DUMMYFUNCTION("""COMPUTED_VALUE"""),"Dag Normann")</f>
        <v>Dag Normann</v>
      </c>
      <c r="D68" s="2" t="str">
        <f ca="1">IFERROR(__xludf.DUMMYFUNCTION("""COMPUTED_VALUE"""),"Løvdal")</f>
        <v>Løvdal</v>
      </c>
      <c r="E68" s="2" t="str">
        <f ca="1">IFERROR(__xludf.DUMMYFUNCTION("""COMPUTED_VALUE"""),"Torungen 3")</f>
        <v>Torungen 3</v>
      </c>
      <c r="F68" s="12">
        <f ca="1">IFERROR(__xludf.DUMMYFUNCTION("""COMPUTED_VALUE"""),78.18)</f>
        <v>78.180000000000007</v>
      </c>
    </row>
    <row r="69" spans="1:6" x14ac:dyDescent="0.25">
      <c r="A69" s="2">
        <f ca="1">IFERROR(__xludf.DUMMYFUNCTION("""COMPUTED_VALUE"""),6316)</f>
        <v>6316</v>
      </c>
      <c r="B69" s="2">
        <f ca="1">IFERROR(__xludf.DUMMYFUNCTION("""COMPUTED_VALUE"""),13)</f>
        <v>13</v>
      </c>
      <c r="C69" s="2" t="str">
        <f ca="1">IFERROR(__xludf.DUMMYFUNCTION("""COMPUTED_VALUE"""),"Tormod")</f>
        <v>Tormod</v>
      </c>
      <c r="D69" s="2" t="str">
        <f ca="1">IFERROR(__xludf.DUMMYFUNCTION("""COMPUTED_VALUE"""),"Aunvik")</f>
        <v>Aunvik</v>
      </c>
      <c r="E69" s="2" t="str">
        <f ca="1">IFERROR(__xludf.DUMMYFUNCTION("""COMPUTED_VALUE"""),"Mix 3")</f>
        <v>Mix 3</v>
      </c>
      <c r="F69" s="12">
        <f ca="1">IFERROR(__xludf.DUMMYFUNCTION("""COMPUTED_VALUE"""),67.36)</f>
        <v>67.36</v>
      </c>
    </row>
    <row r="70" spans="1:6" x14ac:dyDescent="0.25">
      <c r="F70" s="12"/>
    </row>
    <row r="71" spans="1:6" x14ac:dyDescent="0.25">
      <c r="A71" s="5" t="s">
        <v>93</v>
      </c>
      <c r="B71" s="5"/>
      <c r="C71" s="5"/>
    </row>
    <row r="72" spans="1:6" x14ac:dyDescent="0.25">
      <c r="A72" s="5" t="s">
        <v>4</v>
      </c>
      <c r="B72" s="5" t="s">
        <v>7</v>
      </c>
      <c r="C72" s="5" t="s">
        <v>8</v>
      </c>
    </row>
    <row r="73" spans="1:6" x14ac:dyDescent="0.25">
      <c r="A73" s="2">
        <f ca="1">IFERROR(__xludf.DUMMYFUNCTION("LET(
  _d1, 'Dag 1'!F72:G136, 
  _d2, 'Dag 2'!F72:G136, 
  _d3, 'Dag 3'!F72:G136, 
  _all, {_d1; _d2; _d3}, 
  _cleaned, HSTACK(ARRAYFORMULA(TRIM(CHOOSECOLS(_all, 1))), CHOOSECOLS(_all, 2)), 
  _base, QUERY(_cleaned, ""select Col1, sum(Col2) where Col1 is"&amp;" not null and Col1 &lt;&gt; '' and Col1 &lt;&gt; 'Lag' and Col1 &lt;&gt; 'Totalt' group by Col1 order by sum(Col2) desc label sum(Col2) ''"", 0), 
  HSTACK(SEQUENCE(ROWS(_base)), _base)
)"),1)</f>
        <v>1</v>
      </c>
      <c r="B73" s="2" t="str">
        <f ca="1">IFERROR(__xludf.DUMMYFUNCTION("""COMPUTED_VALUE"""),"Nord Jæren 1")</f>
        <v>Nord Jæren 1</v>
      </c>
      <c r="C73" s="12">
        <f ca="1">IFERROR(__xludf.DUMMYFUNCTION("""COMPUTED_VALUE"""),907.39)</f>
        <v>907.39</v>
      </c>
    </row>
    <row r="74" spans="1:6" x14ac:dyDescent="0.25">
      <c r="A74" s="2">
        <f ca="1">IFERROR(__xludf.DUMMYFUNCTION("""COMPUTED_VALUE"""),2)</f>
        <v>2</v>
      </c>
      <c r="B74" s="2" t="str">
        <f ca="1">IFERROR(__xludf.DUMMYFUNCTION("""COMPUTED_VALUE"""),"Oslo 1")</f>
        <v>Oslo 1</v>
      </c>
      <c r="C74" s="12">
        <f ca="1">IFERROR(__xludf.DUMMYFUNCTION("""COMPUTED_VALUE"""),868.62)</f>
        <v>868.62</v>
      </c>
    </row>
    <row r="75" spans="1:6" x14ac:dyDescent="0.25">
      <c r="A75" s="2">
        <f ca="1">IFERROR(__xludf.DUMMYFUNCTION("""COMPUTED_VALUE"""),3)</f>
        <v>3</v>
      </c>
      <c r="B75" s="2" t="str">
        <f ca="1">IFERROR(__xludf.DUMMYFUNCTION("""COMPUTED_VALUE"""),"Trondheim 1")</f>
        <v>Trondheim 1</v>
      </c>
      <c r="C75" s="12">
        <f ca="1">IFERROR(__xludf.DUMMYFUNCTION("""COMPUTED_VALUE"""),858.819999999999)</f>
        <v>858.81999999999903</v>
      </c>
    </row>
    <row r="76" spans="1:6" x14ac:dyDescent="0.25">
      <c r="A76" s="2">
        <f ca="1">IFERROR(__xludf.DUMMYFUNCTION("""COMPUTED_VALUE"""),4)</f>
        <v>4</v>
      </c>
      <c r="B76" s="2" t="str">
        <f ca="1">IFERROR(__xludf.DUMMYFUNCTION("""COMPUTED_VALUE"""),"Torungen 2")</f>
        <v>Torungen 2</v>
      </c>
      <c r="C76" s="12">
        <f ca="1">IFERROR(__xludf.DUMMYFUNCTION("""COMPUTED_VALUE"""),766.989999999999)</f>
        <v>766.98999999999899</v>
      </c>
    </row>
    <row r="77" spans="1:6" x14ac:dyDescent="0.25">
      <c r="A77" s="2">
        <f ca="1">IFERROR(__xludf.DUMMYFUNCTION("""COMPUTED_VALUE"""),5)</f>
        <v>5</v>
      </c>
      <c r="B77" s="2" t="str">
        <f ca="1">IFERROR(__xludf.DUMMYFUNCTION("""COMPUTED_VALUE"""),"Botne 1")</f>
        <v>Botne 1</v>
      </c>
      <c r="C77" s="12">
        <f ca="1">IFERROR(__xludf.DUMMYFUNCTION("""COMPUTED_VALUE"""),766.14)</f>
        <v>766.14</v>
      </c>
    </row>
    <row r="78" spans="1:6" x14ac:dyDescent="0.25">
      <c r="A78" s="2">
        <f ca="1">IFERROR(__xludf.DUMMYFUNCTION("""COMPUTED_VALUE"""),6)</f>
        <v>6</v>
      </c>
      <c r="B78" s="2" t="str">
        <f ca="1">IFERROR(__xludf.DUMMYFUNCTION("""COMPUTED_VALUE"""),"Mix 2")</f>
        <v>Mix 2</v>
      </c>
      <c r="C78" s="12">
        <f ca="1">IFERROR(__xludf.DUMMYFUNCTION("""COMPUTED_VALUE"""),642.219999999999)</f>
        <v>642.219999999999</v>
      </c>
    </row>
    <row r="79" spans="1:6" x14ac:dyDescent="0.25">
      <c r="A79" s="2">
        <f ca="1">IFERROR(__xludf.DUMMYFUNCTION("""COMPUTED_VALUE"""),7)</f>
        <v>7</v>
      </c>
      <c r="B79" s="2" t="str">
        <f ca="1">IFERROR(__xludf.DUMMYFUNCTION("""COMPUTED_VALUE"""),"Trondheim 2")</f>
        <v>Trondheim 2</v>
      </c>
      <c r="C79" s="12">
        <f ca="1">IFERROR(__xludf.DUMMYFUNCTION("""COMPUTED_VALUE"""),636.72)</f>
        <v>636.72</v>
      </c>
    </row>
    <row r="80" spans="1:6" x14ac:dyDescent="0.25">
      <c r="A80" s="2">
        <f ca="1">IFERROR(__xludf.DUMMYFUNCTION("""COMPUTED_VALUE"""),8)</f>
        <v>8</v>
      </c>
      <c r="B80" s="2" t="str">
        <f ca="1">IFERROR(__xludf.DUMMYFUNCTION("""COMPUTED_VALUE"""),"Bergen 1")</f>
        <v>Bergen 1</v>
      </c>
      <c r="C80" s="12">
        <f ca="1">IFERROR(__xludf.DUMMYFUNCTION("""COMPUTED_VALUE"""),590.58)</f>
        <v>590.58000000000004</v>
      </c>
    </row>
    <row r="81" spans="1:4" x14ac:dyDescent="0.25">
      <c r="A81" s="2">
        <f ca="1">IFERROR(__xludf.DUMMYFUNCTION("""COMPUTED_VALUE"""),9)</f>
        <v>9</v>
      </c>
      <c r="B81" s="2" t="str">
        <f ca="1">IFERROR(__xludf.DUMMYFUNCTION("""COMPUTED_VALUE"""),"Mix 1")</f>
        <v>Mix 1</v>
      </c>
      <c r="C81" s="12">
        <f ca="1">IFERROR(__xludf.DUMMYFUNCTION("""COMPUTED_VALUE"""),573.46)</f>
        <v>573.46</v>
      </c>
    </row>
    <row r="82" spans="1:4" x14ac:dyDescent="0.25">
      <c r="A82" s="2">
        <f ca="1">IFERROR(__xludf.DUMMYFUNCTION("""COMPUTED_VALUE"""),10)</f>
        <v>10</v>
      </c>
      <c r="B82" s="2" t="str">
        <f ca="1">IFERROR(__xludf.DUMMYFUNCTION("""COMPUTED_VALUE"""),"Oslo 2")</f>
        <v>Oslo 2</v>
      </c>
      <c r="C82" s="12">
        <f ca="1">IFERROR(__xludf.DUMMYFUNCTION("""COMPUTED_VALUE"""),520.78)</f>
        <v>520.78</v>
      </c>
    </row>
    <row r="83" spans="1:4" x14ac:dyDescent="0.25">
      <c r="A83" s="2">
        <f ca="1">IFERROR(__xludf.DUMMYFUNCTION("""COMPUTED_VALUE"""),11)</f>
        <v>11</v>
      </c>
      <c r="B83" s="2" t="str">
        <f ca="1">IFERROR(__xludf.DUMMYFUNCTION("""COMPUTED_VALUE"""),"Trondheim 3")</f>
        <v>Trondheim 3</v>
      </c>
      <c r="C83" s="12">
        <f ca="1">IFERROR(__xludf.DUMMYFUNCTION("""COMPUTED_VALUE"""),473.7)</f>
        <v>473.7</v>
      </c>
    </row>
    <row r="84" spans="1:4" x14ac:dyDescent="0.25">
      <c r="A84" s="2">
        <f ca="1">IFERROR(__xludf.DUMMYFUNCTION("""COMPUTED_VALUE"""),12)</f>
        <v>12</v>
      </c>
      <c r="B84" s="2" t="str">
        <f ca="1">IFERROR(__xludf.DUMMYFUNCTION("""COMPUTED_VALUE"""),"Torungen 1")</f>
        <v>Torungen 1</v>
      </c>
      <c r="C84" s="12">
        <f ca="1">IFERROR(__xludf.DUMMYFUNCTION("""COMPUTED_VALUE"""),469.94)</f>
        <v>469.94</v>
      </c>
    </row>
    <row r="85" spans="1:4" x14ac:dyDescent="0.25">
      <c r="A85" s="2">
        <f ca="1">IFERROR(__xludf.DUMMYFUNCTION("""COMPUTED_VALUE"""),13)</f>
        <v>13</v>
      </c>
      <c r="B85" s="2" t="str">
        <f ca="1">IFERROR(__xludf.DUMMYFUNCTION("""COMPUTED_VALUE"""),"Torungen 3")</f>
        <v>Torungen 3</v>
      </c>
      <c r="C85" s="12">
        <f ca="1">IFERROR(__xludf.DUMMYFUNCTION("""COMPUTED_VALUE"""),454.84)</f>
        <v>454.84</v>
      </c>
    </row>
    <row r="86" spans="1:4" x14ac:dyDescent="0.25">
      <c r="C86" s="12"/>
    </row>
    <row r="87" spans="1:4" x14ac:dyDescent="0.25">
      <c r="A87" s="2" t="s">
        <v>94</v>
      </c>
      <c r="C87" s="12"/>
    </row>
    <row r="88" spans="1:4" x14ac:dyDescent="0.25">
      <c r="A88" s="2" t="s">
        <v>95</v>
      </c>
      <c r="B88" s="2" t="s">
        <v>96</v>
      </c>
      <c r="C88" s="12" t="s">
        <v>97</v>
      </c>
      <c r="D88" s="2" t="s">
        <v>98</v>
      </c>
    </row>
    <row r="89" spans="1:4" x14ac:dyDescent="0.25">
      <c r="A89" s="2">
        <v>1</v>
      </c>
      <c r="B89" s="2" t="s">
        <v>99</v>
      </c>
      <c r="C89" s="12" t="s">
        <v>100</v>
      </c>
      <c r="D89" s="2">
        <v>872.08</v>
      </c>
    </row>
    <row r="90" spans="1:4" x14ac:dyDescent="0.25">
      <c r="A90" s="2">
        <v>2</v>
      </c>
      <c r="B90" s="2" t="s">
        <v>99</v>
      </c>
      <c r="C90" s="12" t="s">
        <v>101</v>
      </c>
      <c r="D90" s="2">
        <v>869.2</v>
      </c>
    </row>
    <row r="91" spans="1:4" x14ac:dyDescent="0.25">
      <c r="A91" s="2">
        <v>3</v>
      </c>
      <c r="B91" s="2" t="s">
        <v>102</v>
      </c>
      <c r="C91" s="12" t="s">
        <v>103</v>
      </c>
      <c r="D91" s="2">
        <v>864.74</v>
      </c>
    </row>
    <row r="92" spans="1:4" x14ac:dyDescent="0.25">
      <c r="A92" s="2">
        <v>4</v>
      </c>
      <c r="B92" s="2" t="s">
        <v>104</v>
      </c>
      <c r="C92" s="12" t="s">
        <v>105</v>
      </c>
      <c r="D92" s="2">
        <v>862.74</v>
      </c>
    </row>
    <row r="93" spans="1:4" x14ac:dyDescent="0.25">
      <c r="A93" s="2">
        <v>5</v>
      </c>
      <c r="B93" s="2" t="s">
        <v>99</v>
      </c>
      <c r="C93" s="12" t="s">
        <v>106</v>
      </c>
      <c r="D93" s="2">
        <v>822.87</v>
      </c>
    </row>
    <row r="94" spans="1:4" x14ac:dyDescent="0.25">
      <c r="A94" s="2">
        <v>6</v>
      </c>
      <c r="B94" s="2" t="s">
        <v>107</v>
      </c>
      <c r="C94" s="12" t="s">
        <v>105</v>
      </c>
      <c r="D94" s="2">
        <v>808.12</v>
      </c>
    </row>
    <row r="95" spans="1:4" x14ac:dyDescent="0.25">
      <c r="A95" s="2">
        <v>7</v>
      </c>
      <c r="B95" s="2" t="s">
        <v>103</v>
      </c>
      <c r="C95" s="12" t="s">
        <v>108</v>
      </c>
      <c r="D95" s="2">
        <v>807.33</v>
      </c>
    </row>
    <row r="96" spans="1:4" x14ac:dyDescent="0.25">
      <c r="A96" s="2">
        <v>8</v>
      </c>
      <c r="B96" s="2" t="s">
        <v>110</v>
      </c>
      <c r="C96" s="12" t="s">
        <v>105</v>
      </c>
      <c r="D96" s="2">
        <v>777.02</v>
      </c>
    </row>
    <row r="97" spans="1:4" x14ac:dyDescent="0.25">
      <c r="A97" s="2">
        <v>9</v>
      </c>
      <c r="B97" s="2" t="s">
        <v>112</v>
      </c>
      <c r="C97" s="12" t="s">
        <v>105</v>
      </c>
      <c r="D97" s="2">
        <v>772.17</v>
      </c>
    </row>
    <row r="98" spans="1:4" x14ac:dyDescent="0.25">
      <c r="A98" s="2">
        <v>10</v>
      </c>
      <c r="B98" s="2" t="s">
        <v>108</v>
      </c>
      <c r="C98" s="12" t="s">
        <v>105</v>
      </c>
      <c r="D98" s="2">
        <v>752.51</v>
      </c>
    </row>
    <row r="99" spans="1:4" x14ac:dyDescent="0.25">
      <c r="A99" s="2">
        <v>11</v>
      </c>
      <c r="B99" s="2" t="s">
        <v>113</v>
      </c>
      <c r="C99" s="12" t="s">
        <v>105</v>
      </c>
      <c r="D99" s="2">
        <v>732.68</v>
      </c>
    </row>
    <row r="100" spans="1:4" x14ac:dyDescent="0.25">
      <c r="A100" s="2">
        <v>12</v>
      </c>
      <c r="B100" s="2" t="s">
        <v>99</v>
      </c>
      <c r="C100" s="12" t="s">
        <v>114</v>
      </c>
      <c r="D100" s="2">
        <v>723.66</v>
      </c>
    </row>
    <row r="101" spans="1:4" x14ac:dyDescent="0.25">
      <c r="A101" s="2">
        <v>13</v>
      </c>
      <c r="B101" s="2" t="s">
        <v>115</v>
      </c>
      <c r="C101" s="12" t="s">
        <v>106</v>
      </c>
      <c r="D101" s="2">
        <v>722.65</v>
      </c>
    </row>
    <row r="102" spans="1:4" x14ac:dyDescent="0.25">
      <c r="A102" s="2">
        <v>14</v>
      </c>
      <c r="B102" s="2" t="s">
        <v>102</v>
      </c>
      <c r="C102" s="12" t="s">
        <v>100</v>
      </c>
      <c r="D102" s="2">
        <v>719.61</v>
      </c>
    </row>
    <row r="103" spans="1:4" x14ac:dyDescent="0.25">
      <c r="A103" s="2">
        <v>15</v>
      </c>
      <c r="B103" s="2" t="s">
        <v>101</v>
      </c>
      <c r="C103" s="12" t="s">
        <v>100</v>
      </c>
      <c r="D103" s="2">
        <v>714.85</v>
      </c>
    </row>
    <row r="104" spans="1:4" x14ac:dyDescent="0.25">
      <c r="A104" s="2">
        <v>16</v>
      </c>
      <c r="B104" s="2" t="s">
        <v>113</v>
      </c>
      <c r="C104" s="12" t="s">
        <v>104</v>
      </c>
      <c r="D104" s="2">
        <v>697.07</v>
      </c>
    </row>
    <row r="105" spans="1:4" x14ac:dyDescent="0.25">
      <c r="A105" s="2">
        <v>17</v>
      </c>
      <c r="B105" s="2" t="s">
        <v>110</v>
      </c>
      <c r="C105" s="12" t="s">
        <v>107</v>
      </c>
      <c r="D105" s="2">
        <v>686.8</v>
      </c>
    </row>
    <row r="106" spans="1:4" x14ac:dyDescent="0.25">
      <c r="A106" s="2">
        <v>18</v>
      </c>
      <c r="B106" s="2" t="s">
        <v>116</v>
      </c>
      <c r="C106" s="12" t="s">
        <v>107</v>
      </c>
      <c r="D106" s="2">
        <v>671.32</v>
      </c>
    </row>
    <row r="107" spans="1:4" x14ac:dyDescent="0.25">
      <c r="A107" s="2">
        <v>19</v>
      </c>
      <c r="B107" s="2" t="s">
        <v>100</v>
      </c>
      <c r="C107" s="12" t="s">
        <v>106</v>
      </c>
      <c r="D107" s="2">
        <v>668.51</v>
      </c>
    </row>
    <row r="108" spans="1:4" x14ac:dyDescent="0.25">
      <c r="A108" s="2">
        <v>20</v>
      </c>
      <c r="B108" s="2" t="s">
        <v>102</v>
      </c>
      <c r="C108" s="12" t="s">
        <v>117</v>
      </c>
      <c r="D108" s="2">
        <v>668.49</v>
      </c>
    </row>
    <row r="109" spans="1:4" x14ac:dyDescent="0.25">
      <c r="A109" s="2">
        <v>21</v>
      </c>
      <c r="B109" s="2" t="s">
        <v>107</v>
      </c>
      <c r="C109" s="12" t="s">
        <v>118</v>
      </c>
      <c r="D109" s="2">
        <v>666.4</v>
      </c>
    </row>
    <row r="110" spans="1:4" x14ac:dyDescent="0.25">
      <c r="A110" s="2">
        <v>22</v>
      </c>
      <c r="B110" s="2" t="s">
        <v>106</v>
      </c>
      <c r="C110" s="12" t="s">
        <v>101</v>
      </c>
      <c r="D110" s="2">
        <v>665.64</v>
      </c>
    </row>
    <row r="111" spans="1:4" x14ac:dyDescent="0.25">
      <c r="A111" s="2">
        <v>23</v>
      </c>
      <c r="B111" s="2" t="s">
        <v>105</v>
      </c>
      <c r="C111" s="12" t="s">
        <v>119</v>
      </c>
      <c r="D111" s="2">
        <v>654.27</v>
      </c>
    </row>
    <row r="112" spans="1:4" x14ac:dyDescent="0.25">
      <c r="A112" s="2">
        <v>24</v>
      </c>
      <c r="B112" s="2" t="s">
        <v>116</v>
      </c>
      <c r="C112" s="12" t="s">
        <v>118</v>
      </c>
      <c r="D112" s="2">
        <v>619.82000000000005</v>
      </c>
    </row>
    <row r="113" spans="1:4" x14ac:dyDescent="0.25">
      <c r="A113" s="2">
        <v>25</v>
      </c>
      <c r="B113" s="2" t="s">
        <v>106</v>
      </c>
      <c r="C113" s="12" t="s">
        <v>117</v>
      </c>
      <c r="D113" s="2">
        <v>617.39</v>
      </c>
    </row>
    <row r="114" spans="1:4" x14ac:dyDescent="0.25">
      <c r="A114" s="2">
        <v>26</v>
      </c>
      <c r="B114" s="2" t="s">
        <v>110</v>
      </c>
      <c r="C114" s="12" t="s">
        <v>120</v>
      </c>
      <c r="D114" s="2">
        <v>616.87</v>
      </c>
    </row>
    <row r="115" spans="1:4" x14ac:dyDescent="0.25">
      <c r="A115" s="2">
        <v>27</v>
      </c>
      <c r="B115" s="2" t="s">
        <v>114</v>
      </c>
      <c r="C115" s="12" t="s">
        <v>102</v>
      </c>
      <c r="D115" s="2">
        <v>571.20000000000005</v>
      </c>
    </row>
    <row r="116" spans="1:4" x14ac:dyDescent="0.25">
      <c r="A116" s="2">
        <v>28</v>
      </c>
      <c r="B116" s="2" t="s">
        <v>112</v>
      </c>
      <c r="C116" s="12" t="s">
        <v>121</v>
      </c>
      <c r="D116" s="2">
        <v>485.24</v>
      </c>
    </row>
    <row r="117" spans="1:4" x14ac:dyDescent="0.25">
      <c r="A117" s="2">
        <v>29</v>
      </c>
      <c r="B117" s="2" t="s">
        <v>122</v>
      </c>
      <c r="C117" s="12" t="s">
        <v>123</v>
      </c>
      <c r="D117" s="2">
        <v>433.58</v>
      </c>
    </row>
    <row r="118" spans="1:4" x14ac:dyDescent="0.25">
      <c r="A118" s="2">
        <v>30</v>
      </c>
      <c r="B118" s="2" t="s">
        <v>124</v>
      </c>
      <c r="C118" s="12" t="s">
        <v>125</v>
      </c>
      <c r="D118" s="2">
        <v>394.55</v>
      </c>
    </row>
    <row r="119" spans="1:4" x14ac:dyDescent="0.25">
      <c r="C119" s="12"/>
    </row>
    <row r="120" spans="1:4" x14ac:dyDescent="0.25">
      <c r="C120" s="12"/>
    </row>
    <row r="121" spans="1:4" x14ac:dyDescent="0.25">
      <c r="C121" s="12"/>
    </row>
    <row r="122" spans="1:4" x14ac:dyDescent="0.25">
      <c r="C122" s="12"/>
    </row>
    <row r="123" spans="1:4" x14ac:dyDescent="0.25">
      <c r="C123" s="12"/>
    </row>
    <row r="124" spans="1:4" x14ac:dyDescent="0.25">
      <c r="C124" s="12"/>
    </row>
    <row r="125" spans="1:4" x14ac:dyDescent="0.25">
      <c r="C125" s="12"/>
    </row>
    <row r="126" spans="1:4" x14ac:dyDescent="0.25">
      <c r="C126" s="12"/>
    </row>
    <row r="127" spans="1:4" x14ac:dyDescent="0.25">
      <c r="C127" s="12"/>
    </row>
    <row r="128" spans="1:4" x14ac:dyDescent="0.25">
      <c r="C128" s="12"/>
    </row>
    <row r="129" spans="3:3" x14ac:dyDescent="0.25">
      <c r="C129" s="12"/>
    </row>
    <row r="130" spans="3:3" x14ac:dyDescent="0.25">
      <c r="C130" s="12"/>
    </row>
    <row r="131" spans="3:3" x14ac:dyDescent="0.25">
      <c r="C131" s="12"/>
    </row>
    <row r="132" spans="3:3" x14ac:dyDescent="0.25">
      <c r="C132" s="12"/>
    </row>
    <row r="133" spans="3:3" x14ac:dyDescent="0.25">
      <c r="C133" s="12"/>
    </row>
    <row r="134" spans="3:3" x14ac:dyDescent="0.25">
      <c r="C134" s="12"/>
    </row>
    <row r="135" spans="3:3" x14ac:dyDescent="0.25">
      <c r="C135" s="12"/>
    </row>
    <row r="136" spans="3:3" x14ac:dyDescent="0.25">
      <c r="C136" s="12"/>
    </row>
    <row r="137" spans="3:3" x14ac:dyDescent="0.25">
      <c r="C137" s="12"/>
    </row>
    <row r="138" spans="3:3" x14ac:dyDescent="0.25">
      <c r="C138" s="12"/>
    </row>
    <row r="139" spans="3:3" x14ac:dyDescent="0.25">
      <c r="C139" s="12"/>
    </row>
    <row r="140" spans="3:3" x14ac:dyDescent="0.25">
      <c r="C140" s="12"/>
    </row>
    <row r="141" spans="3:3" x14ac:dyDescent="0.25">
      <c r="C141" s="12"/>
    </row>
    <row r="142" spans="3:3" x14ac:dyDescent="0.25">
      <c r="C142" s="12"/>
    </row>
    <row r="143" spans="3:3" x14ac:dyDescent="0.25">
      <c r="C143" s="12"/>
    </row>
    <row r="144" spans="3:3" x14ac:dyDescent="0.25">
      <c r="C144" s="12"/>
    </row>
    <row r="145" spans="3:3" x14ac:dyDescent="0.25">
      <c r="C145" s="12"/>
    </row>
    <row r="146" spans="3:3" x14ac:dyDescent="0.25">
      <c r="C146" s="12"/>
    </row>
    <row r="147" spans="3:3" x14ac:dyDescent="0.25">
      <c r="C147" s="12"/>
    </row>
    <row r="148" spans="3:3" x14ac:dyDescent="0.25">
      <c r="C148" s="12"/>
    </row>
    <row r="149" spans="3:3" x14ac:dyDescent="0.25">
      <c r="C149" s="12"/>
    </row>
    <row r="150" spans="3:3" x14ac:dyDescent="0.25">
      <c r="C15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Dag 1</vt:lpstr>
      <vt:lpstr>Dag 2</vt:lpstr>
      <vt:lpstr>Dag 3</vt:lpstr>
      <vt:lpstr>Sammenlagt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</dc:creator>
  <cp:lastModifiedBy>105-Deputert Mester St. Svithun</cp:lastModifiedBy>
  <dcterms:created xsi:type="dcterms:W3CDTF">2026-08-21T11:18:41Z</dcterms:created>
  <dcterms:modified xsi:type="dcterms:W3CDTF">2026-08-21T11:18:41Z</dcterms:modified>
</cp:coreProperties>
</file>